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de\Desktop\Oceanside Website\Oceanside\web\models\"/>
    </mc:Choice>
  </mc:AlternateContent>
  <xr:revisionPtr revIDLastSave="0" documentId="13_ncr:1_{41F35016-879D-4765-A473-73858831DCAC}" xr6:coauthVersionLast="40" xr6:coauthVersionMax="40" xr10:uidLastSave="{00000000-0000-0000-0000-000000000000}"/>
  <bookViews>
    <workbookView xWindow="-120" yWindow="-120" windowWidth="29040" windowHeight="15840" activeTab="4" xr2:uid="{3D2F1FF8-48BA-410F-9E12-A914FEBB3A85}"/>
  </bookViews>
  <sheets>
    <sheet name="Workings" sheetId="3" r:id="rId1"/>
    <sheet name="Assumptions" sheetId="4" r:id="rId2"/>
    <sheet name="Simple Segmented Financials" sheetId="5" r:id="rId3"/>
    <sheet name="Simple Financials" sheetId="7" r:id="rId4"/>
    <sheet name="Financial Summary" sheetId="1" r:id="rId5"/>
    <sheet name="Simple Div Yield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1" l="1"/>
  <c r="H12" i="1" l="1"/>
  <c r="B10" i="8" l="1"/>
  <c r="B9" i="8"/>
  <c r="B8" i="8"/>
  <c r="I90" i="1" l="1"/>
  <c r="J90" i="1"/>
  <c r="K90" i="1"/>
  <c r="L90" i="1"/>
  <c r="H90" i="1"/>
  <c r="I83" i="1"/>
  <c r="J83" i="1"/>
  <c r="K83" i="1"/>
  <c r="L83" i="1"/>
  <c r="H83" i="1"/>
  <c r="I78" i="1"/>
  <c r="J78" i="1"/>
  <c r="K78" i="1"/>
  <c r="L78" i="1"/>
  <c r="H78" i="1"/>
  <c r="I40" i="1"/>
  <c r="J40" i="1"/>
  <c r="K40" i="1"/>
  <c r="L40" i="1"/>
  <c r="H40" i="1"/>
  <c r="I42" i="1"/>
  <c r="I43" i="1" s="1"/>
  <c r="J42" i="1"/>
  <c r="K42" i="1"/>
  <c r="K43" i="1" s="1"/>
  <c r="L42" i="1"/>
  <c r="L43" i="1" s="1"/>
  <c r="H42" i="1"/>
  <c r="H43" i="1" s="1"/>
  <c r="I70" i="1"/>
  <c r="J70" i="1"/>
  <c r="K70" i="1"/>
  <c r="L70" i="1"/>
  <c r="H70" i="1"/>
  <c r="I64" i="1"/>
  <c r="J64" i="1"/>
  <c r="K64" i="1"/>
  <c r="L64" i="1"/>
  <c r="H64" i="1"/>
  <c r="I59" i="1"/>
  <c r="J59" i="1"/>
  <c r="K59" i="1"/>
  <c r="L59" i="1"/>
  <c r="H59" i="1"/>
  <c r="H65" i="1" s="1"/>
  <c r="H28" i="1"/>
  <c r="H29" i="1" s="1"/>
  <c r="I65" i="1" l="1"/>
  <c r="H84" i="1"/>
  <c r="H91" i="1" s="1"/>
  <c r="I84" i="1"/>
  <c r="I91" i="1" s="1"/>
  <c r="K65" i="1"/>
  <c r="K72" i="1" s="1"/>
  <c r="J84" i="1"/>
  <c r="J91" i="1" s="1"/>
  <c r="J30" i="1" s="1"/>
  <c r="I72" i="1"/>
  <c r="H72" i="1"/>
  <c r="L65" i="1"/>
  <c r="L72" i="1" s="1"/>
  <c r="J65" i="1"/>
  <c r="J72" i="1" s="1"/>
  <c r="K84" i="1"/>
  <c r="K91" i="1" s="1"/>
  <c r="L84" i="1"/>
  <c r="L91" i="1" s="1"/>
  <c r="L30" i="1" s="1"/>
  <c r="J43" i="1"/>
  <c r="H92" i="1"/>
  <c r="H73" i="1"/>
  <c r="H52" i="1"/>
  <c r="H35" i="1"/>
  <c r="I28" i="1"/>
  <c r="I29" i="1" s="1"/>
  <c r="J28" i="1"/>
  <c r="K28" i="1"/>
  <c r="L28" i="1"/>
  <c r="H30" i="1" l="1"/>
  <c r="I30" i="1"/>
  <c r="K30" i="1"/>
  <c r="J29" i="1"/>
  <c r="L29" i="1"/>
  <c r="I92" i="1"/>
  <c r="J92" i="1" s="1"/>
  <c r="K92" i="1" s="1"/>
  <c r="L92" i="1" s="1"/>
  <c r="I73" i="1"/>
  <c r="J73" i="1" s="1"/>
  <c r="K73" i="1" s="1"/>
  <c r="L73" i="1" s="1"/>
  <c r="I52" i="1" l="1"/>
  <c r="J52" i="1" s="1"/>
  <c r="K52" i="1" s="1"/>
  <c r="L52" i="1" s="1"/>
  <c r="I25" i="1"/>
  <c r="J25" i="1" s="1"/>
  <c r="K25" i="1" s="1"/>
  <c r="L25" i="1" s="1"/>
  <c r="I35" i="1" l="1"/>
  <c r="J35" i="1" s="1"/>
  <c r="K35" i="1" s="1"/>
  <c r="L35" i="1" s="1"/>
  <c r="L51" i="7"/>
  <c r="K51" i="7"/>
  <c r="L50" i="7"/>
  <c r="K50" i="7"/>
  <c r="L49" i="7"/>
  <c r="K49" i="7"/>
  <c r="L48" i="7"/>
  <c r="K48" i="7"/>
  <c r="J45" i="5"/>
  <c r="K47" i="7"/>
  <c r="L47" i="7"/>
  <c r="L52" i="7" s="1"/>
  <c r="J42" i="5"/>
  <c r="I35" i="5"/>
  <c r="M40" i="7"/>
  <c r="M47" i="7" s="1"/>
  <c r="G4" i="4"/>
  <c r="K22" i="7" s="1"/>
  <c r="K36" i="7" s="1"/>
  <c r="J22" i="7"/>
  <c r="J23" i="7"/>
  <c r="J37" i="7"/>
  <c r="L22" i="7"/>
  <c r="L36" i="7" s="1"/>
  <c r="M22" i="7"/>
  <c r="M36" i="7" s="1"/>
  <c r="J57" i="7"/>
  <c r="I57" i="7"/>
  <c r="H57" i="7"/>
  <c r="I47" i="7"/>
  <c r="J18" i="5"/>
  <c r="J51" i="7"/>
  <c r="J50" i="7"/>
  <c r="J49" i="7"/>
  <c r="J48" i="7"/>
  <c r="J47" i="7"/>
  <c r="I51" i="7"/>
  <c r="I50" i="7"/>
  <c r="I49" i="7"/>
  <c r="I48" i="7"/>
  <c r="H51" i="7"/>
  <c r="H50" i="7"/>
  <c r="H49" i="7"/>
  <c r="H48" i="7"/>
  <c r="H47" i="7"/>
  <c r="J39" i="7"/>
  <c r="J38" i="7"/>
  <c r="J36" i="7"/>
  <c r="J35" i="7"/>
  <c r="H39" i="7"/>
  <c r="H38" i="7"/>
  <c r="H37" i="7"/>
  <c r="H36" i="7"/>
  <c r="H35" i="7"/>
  <c r="I36" i="7"/>
  <c r="I35" i="7"/>
  <c r="I39" i="7"/>
  <c r="I38" i="7"/>
  <c r="I37" i="7"/>
  <c r="I33" i="7"/>
  <c r="J33" i="7" s="1"/>
  <c r="K33" i="7" s="1"/>
  <c r="L33" i="7" s="1"/>
  <c r="M33" i="7" s="1"/>
  <c r="K23" i="7"/>
  <c r="L23" i="7"/>
  <c r="M23" i="7"/>
  <c r="J24" i="7"/>
  <c r="L24" i="7"/>
  <c r="L37" i="7" s="1"/>
  <c r="M24" i="7"/>
  <c r="M37" i="7" s="1"/>
  <c r="J25" i="7"/>
  <c r="L25" i="7"/>
  <c r="M25" i="7"/>
  <c r="J26" i="7"/>
  <c r="L26" i="7"/>
  <c r="M26" i="7"/>
  <c r="J27" i="7"/>
  <c r="K27" i="7"/>
  <c r="L27" i="7"/>
  <c r="M27" i="7"/>
  <c r="J28" i="7"/>
  <c r="K28" i="7"/>
  <c r="L28" i="7"/>
  <c r="M28" i="7"/>
  <c r="L21" i="7"/>
  <c r="L35" i="7" s="1"/>
  <c r="M21" i="7"/>
  <c r="M35" i="7" s="1"/>
  <c r="J21" i="7"/>
  <c r="I20" i="7"/>
  <c r="J20" i="7" s="1"/>
  <c r="K20" i="7" s="1"/>
  <c r="L20" i="7" s="1"/>
  <c r="M20" i="7" s="1"/>
  <c r="I11" i="7"/>
  <c r="J11" i="7" s="1"/>
  <c r="K11" i="7" s="1"/>
  <c r="L11" i="7" s="1"/>
  <c r="M11" i="7" s="1"/>
  <c r="G30" i="4"/>
  <c r="E30" i="4"/>
  <c r="E31" i="4" s="1"/>
  <c r="M52" i="7" l="1"/>
  <c r="M50" i="7"/>
  <c r="M48" i="7"/>
  <c r="M51" i="7"/>
  <c r="M49" i="7"/>
  <c r="K52" i="7"/>
  <c r="K55" i="7" s="1"/>
  <c r="K58" i="7" s="1"/>
  <c r="M38" i="7"/>
  <c r="M44" i="7" s="1"/>
  <c r="H52" i="7"/>
  <c r="J52" i="7"/>
  <c r="I40" i="7"/>
  <c r="I44" i="7" s="1"/>
  <c r="L38" i="7"/>
  <c r="L44" i="7" s="1"/>
  <c r="I52" i="7"/>
  <c r="J40" i="7"/>
  <c r="J44" i="7" s="1"/>
  <c r="H40" i="7"/>
  <c r="H44" i="7" s="1"/>
  <c r="J50" i="5" l="1"/>
  <c r="J51" i="5"/>
  <c r="J52" i="5"/>
  <c r="J53" i="5"/>
  <c r="J54" i="5"/>
  <c r="J55" i="5"/>
  <c r="J56" i="5"/>
  <c r="J57" i="5"/>
  <c r="E58" i="5"/>
  <c r="F58" i="5"/>
  <c r="G58" i="5"/>
  <c r="H58" i="5"/>
  <c r="I58" i="5"/>
  <c r="J64" i="5"/>
  <c r="J65" i="5"/>
  <c r="J66" i="5"/>
  <c r="J67" i="5"/>
  <c r="J68" i="5"/>
  <c r="J69" i="5"/>
  <c r="J70" i="5"/>
  <c r="J71" i="5"/>
  <c r="E72" i="5"/>
  <c r="F72" i="5"/>
  <c r="G72" i="5"/>
  <c r="H72" i="5"/>
  <c r="I72" i="5"/>
  <c r="J11" i="5"/>
  <c r="H56" i="7" s="1"/>
  <c r="I9" i="5"/>
  <c r="H9" i="5"/>
  <c r="G9" i="5"/>
  <c r="F9" i="5"/>
  <c r="E9" i="5"/>
  <c r="J8" i="5"/>
  <c r="H54" i="7" s="1"/>
  <c r="J7" i="5"/>
  <c r="H53" i="7" s="1"/>
  <c r="J5" i="5"/>
  <c r="J3" i="5"/>
  <c r="J16" i="5"/>
  <c r="J20" i="5"/>
  <c r="I53" i="7" s="1"/>
  <c r="J21" i="5"/>
  <c r="I54" i="7" s="1"/>
  <c r="E22" i="5"/>
  <c r="F22" i="5"/>
  <c r="G22" i="5"/>
  <c r="H22" i="5"/>
  <c r="I22" i="5"/>
  <c r="J24" i="5"/>
  <c r="I56" i="7" s="1"/>
  <c r="F35" i="5"/>
  <c r="G35" i="5"/>
  <c r="H35" i="5"/>
  <c r="E35" i="5"/>
  <c r="J37" i="5"/>
  <c r="J56" i="7" s="1"/>
  <c r="J34" i="5"/>
  <c r="J54" i="7" s="1"/>
  <c r="J33" i="5"/>
  <c r="J53" i="7" s="1"/>
  <c r="J55" i="7" s="1"/>
  <c r="J58" i="7" s="1"/>
  <c r="J31" i="5"/>
  <c r="J29" i="5"/>
  <c r="B29" i="3"/>
  <c r="G8" i="4"/>
  <c r="K26" i="7" s="1"/>
  <c r="G7" i="4"/>
  <c r="K25" i="7" s="1"/>
  <c r="G6" i="4"/>
  <c r="K24" i="7" s="1"/>
  <c r="K37" i="7" s="1"/>
  <c r="G3" i="4"/>
  <c r="K21" i="7" s="1"/>
  <c r="K35" i="7" s="1"/>
  <c r="F32" i="5" l="1"/>
  <c r="G32" i="5"/>
  <c r="H32" i="5"/>
  <c r="I32" i="5"/>
  <c r="E32" i="5"/>
  <c r="G19" i="5"/>
  <c r="H19" i="5"/>
  <c r="I19" i="5"/>
  <c r="E19" i="5"/>
  <c r="F19" i="5"/>
  <c r="H6" i="5"/>
  <c r="I6" i="5"/>
  <c r="E6" i="5"/>
  <c r="G6" i="5"/>
  <c r="F6" i="5"/>
  <c r="K38" i="7"/>
  <c r="K44" i="7" s="1"/>
  <c r="I55" i="7"/>
  <c r="I58" i="7" s="1"/>
  <c r="H55" i="7"/>
  <c r="H58" i="7" s="1"/>
  <c r="J72" i="5"/>
  <c r="H59" i="5" s="1"/>
  <c r="J58" i="5"/>
  <c r="J9" i="5"/>
  <c r="J13" i="5" s="1"/>
  <c r="J22" i="5"/>
  <c r="I23" i="5" s="1"/>
  <c r="J35" i="5"/>
  <c r="E23" i="5" l="1"/>
  <c r="I36" i="5"/>
  <c r="J6" i="5"/>
  <c r="J19" i="5"/>
  <c r="I73" i="5"/>
  <c r="I59" i="5"/>
  <c r="H73" i="5"/>
  <c r="G59" i="5"/>
  <c r="F59" i="5"/>
  <c r="G73" i="5"/>
  <c r="E73" i="5"/>
  <c r="E59" i="5"/>
  <c r="F73" i="5"/>
  <c r="J23" i="5"/>
  <c r="I10" i="5"/>
  <c r="J26" i="5"/>
  <c r="H10" i="5"/>
  <c r="G10" i="5"/>
  <c r="F23" i="5"/>
  <c r="J10" i="5"/>
  <c r="H23" i="5"/>
  <c r="G23" i="5"/>
  <c r="E10" i="5"/>
  <c r="F10" i="5"/>
  <c r="J36" i="5"/>
  <c r="J39" i="5"/>
  <c r="H36" i="5"/>
  <c r="E36" i="5"/>
  <c r="F36" i="5"/>
  <c r="G36" i="5"/>
  <c r="M55" i="7" l="1"/>
  <c r="M58" i="7" s="1"/>
  <c r="L55" i="7"/>
  <c r="L58" i="7" s="1"/>
</calcChain>
</file>

<file path=xl/sharedStrings.xml><?xml version="1.0" encoding="utf-8"?>
<sst xmlns="http://schemas.openxmlformats.org/spreadsheetml/2006/main" count="365" uniqueCount="225">
  <si>
    <t>EBITA</t>
  </si>
  <si>
    <t>EBIT</t>
  </si>
  <si>
    <t>Net Interest</t>
  </si>
  <si>
    <t>Units</t>
  </si>
  <si>
    <t>Cash</t>
  </si>
  <si>
    <t>Total Liabilities</t>
  </si>
  <si>
    <t>BHP's Attributable Production</t>
  </si>
  <si>
    <t xml:space="preserve">    Petroleum</t>
  </si>
  <si>
    <t xml:space="preserve">    Copper</t>
  </si>
  <si>
    <t xml:space="preserve">    Iron Ore</t>
  </si>
  <si>
    <t xml:space="preserve">    Coal</t>
  </si>
  <si>
    <t xml:space="preserve">    Group and unallocated</t>
  </si>
  <si>
    <t>Gold</t>
  </si>
  <si>
    <t>Nikel</t>
  </si>
  <si>
    <t>Uranium</t>
  </si>
  <si>
    <t>Petroleum</t>
  </si>
  <si>
    <t>Copper</t>
  </si>
  <si>
    <t>Iron Ore</t>
  </si>
  <si>
    <t>Coal</t>
  </si>
  <si>
    <t>Pricing Assumptions</t>
  </si>
  <si>
    <t>FX Rate</t>
  </si>
  <si>
    <t>AUD/USD</t>
  </si>
  <si>
    <t>USD$/lb</t>
  </si>
  <si>
    <t>MMboe</t>
  </si>
  <si>
    <t>Min</t>
  </si>
  <si>
    <t>Max</t>
  </si>
  <si>
    <t>Mt</t>
  </si>
  <si>
    <t>Coal - metallurgical</t>
  </si>
  <si>
    <t>Coal - energy</t>
  </si>
  <si>
    <t>31-December 2017 BHP report FY18e</t>
  </si>
  <si>
    <t>EBITDA Margin</t>
  </si>
  <si>
    <t>ROCE</t>
  </si>
  <si>
    <t>Kt</t>
  </si>
  <si>
    <t>Units US$</t>
  </si>
  <si>
    <t>Billon</t>
  </si>
  <si>
    <t>% of EBITA</t>
  </si>
  <si>
    <t>EBTIA % of Production H1 FY18A*</t>
  </si>
  <si>
    <t>* Excluding group and unallocated items</t>
  </si>
  <si>
    <t>Payout Ratio (%)</t>
  </si>
  <si>
    <t xml:space="preserve">  Underlying EBITDA (including third party products)</t>
  </si>
  <si>
    <t xml:space="preserve">    Total Underlying EBITDA (including third party products)</t>
  </si>
  <si>
    <t>Underlying Attributable Profit</t>
  </si>
  <si>
    <t>Less: Impact of US tax reforms</t>
  </si>
  <si>
    <t>Less: Samarco dam failure</t>
  </si>
  <si>
    <t>Total Attributable Profit</t>
  </si>
  <si>
    <t>Operating Cashflow</t>
  </si>
  <si>
    <t>Free Cashflow</t>
  </si>
  <si>
    <t>Beginning Operating Cashflow</t>
  </si>
  <si>
    <t>NiW Potash G&amp;U</t>
  </si>
  <si>
    <t>Tax &amp; Other</t>
  </si>
  <si>
    <t>Ending Operating Cashflow</t>
  </si>
  <si>
    <t>Total</t>
  </si>
  <si>
    <t>Group/Unallocated</t>
  </si>
  <si>
    <t>Total Revenue</t>
  </si>
  <si>
    <t>Underlying EBITDA</t>
  </si>
  <si>
    <t>Underlying EBIT</t>
  </si>
  <si>
    <t>Exceptional Items</t>
  </si>
  <si>
    <t>Less: D&amp;A</t>
  </si>
  <si>
    <t>Less: Impairement losses</t>
  </si>
  <si>
    <t>Less: Net Finance Costs</t>
  </si>
  <si>
    <t>As % of Total EBIT</t>
  </si>
  <si>
    <t>Profit before Taxes</t>
  </si>
  <si>
    <t>Segmented Revenue FY17</t>
  </si>
  <si>
    <t>Segmented Revenue FY16</t>
  </si>
  <si>
    <t>Profit/(Loss) before Taxes</t>
  </si>
  <si>
    <t>Segmented Revenue FY15</t>
  </si>
  <si>
    <t>Other Income</t>
  </si>
  <si>
    <t>Weighted Average Number of Shares (Dilluted)</t>
  </si>
  <si>
    <t>EPS (Diluted)</t>
  </si>
  <si>
    <t>Segmented Revenues</t>
  </si>
  <si>
    <t>Net Book Value of PP&amp;E for FY2017</t>
  </si>
  <si>
    <t>Land &amp; Buildings</t>
  </si>
  <si>
    <t>Plant &amp; Equip</t>
  </si>
  <si>
    <t>AUC*</t>
  </si>
  <si>
    <t>E&amp;E*</t>
  </si>
  <si>
    <t>OMA*</t>
  </si>
  <si>
    <t>Beginning of Financial Year</t>
  </si>
  <si>
    <t>Additions/Acquisitions</t>
  </si>
  <si>
    <t>Depreciation for FY</t>
  </si>
  <si>
    <t>Impairment, net of reversals</t>
  </si>
  <si>
    <t>Disposals</t>
  </si>
  <si>
    <t xml:space="preserve">Divestments </t>
  </si>
  <si>
    <t>FX Variations</t>
  </si>
  <si>
    <t>Transfers and other</t>
  </si>
  <si>
    <t>At end of Financial Year</t>
  </si>
  <si>
    <t>As % of Total PP&amp;E</t>
  </si>
  <si>
    <t>Net Book Value of PP&amp;E for FY2016</t>
  </si>
  <si>
    <t>Segmented PP&amp;E</t>
  </si>
  <si>
    <t>Oil</t>
  </si>
  <si>
    <t>USD$/oz</t>
  </si>
  <si>
    <t>USD$/t</t>
  </si>
  <si>
    <t>USD$bbl</t>
  </si>
  <si>
    <t>Koz</t>
  </si>
  <si>
    <t>Mlb</t>
  </si>
  <si>
    <t>Assumptions</t>
  </si>
  <si>
    <t>Conversions</t>
  </si>
  <si>
    <t>Grams -&gt; Troy Ounces</t>
  </si>
  <si>
    <t>Pounds -&gt; Metric Tonnes</t>
  </si>
  <si>
    <t xml:space="preserve">Pricing </t>
  </si>
  <si>
    <t>Metal Prices</t>
  </si>
  <si>
    <t>Consensus Reports</t>
  </si>
  <si>
    <t>Production Schedule</t>
  </si>
  <si>
    <t>MM/boe</t>
  </si>
  <si>
    <t>K/t</t>
  </si>
  <si>
    <t>K/oz</t>
  </si>
  <si>
    <t>M/t</t>
  </si>
  <si>
    <t>M/lb</t>
  </si>
  <si>
    <t>Mining</t>
  </si>
  <si>
    <t>Gross Revenue</t>
  </si>
  <si>
    <t>Iron</t>
  </si>
  <si>
    <t>Consolidated Income Statement</t>
  </si>
  <si>
    <t>Financials</t>
  </si>
  <si>
    <t>Group / Unallocated</t>
  </si>
  <si>
    <t>Total Gross Revenue</t>
  </si>
  <si>
    <t>Less: Expenses, including net finance costs</t>
  </si>
  <si>
    <t>P/L from equity investments, impairement</t>
  </si>
  <si>
    <t>Profit/(Loss) from Operations</t>
  </si>
  <si>
    <t>Total Underlying EBITDA</t>
  </si>
  <si>
    <t>Less: Depreciation and Amortization</t>
  </si>
  <si>
    <t>Less: Impairement Losses</t>
  </si>
  <si>
    <t>Total Underlying EBIT</t>
  </si>
  <si>
    <t>Less: Net Financing Costs</t>
  </si>
  <si>
    <t>Net Profit Before Taxes</t>
  </si>
  <si>
    <t>Troy Ounces -&gt; Grams</t>
  </si>
  <si>
    <t>Tonnes -&gt; Kilotonnes</t>
  </si>
  <si>
    <t>Kilotonne -&gt; Pound</t>
  </si>
  <si>
    <t>Segmented Revenue FY18e</t>
  </si>
  <si>
    <t>As % of Gross Rev</t>
  </si>
  <si>
    <t>% of Total Rev</t>
  </si>
  <si>
    <t>EPS (Underlying) (cps)</t>
  </si>
  <si>
    <t>PE (Underlying) (x)</t>
  </si>
  <si>
    <t>EV / EBITDA (x)</t>
  </si>
  <si>
    <t>DPS (cps) (AUD)</t>
  </si>
  <si>
    <t>Franking (%)</t>
  </si>
  <si>
    <t>Free Cash Flow Yield (%)</t>
  </si>
  <si>
    <t>Investment Summary</t>
  </si>
  <si>
    <t>Profit and Loss (USD) (m)</t>
  </si>
  <si>
    <t>Sales</t>
  </si>
  <si>
    <t>Sales Growth (%)</t>
  </si>
  <si>
    <t>Other Operating Income</t>
  </si>
  <si>
    <t>EBITDA</t>
  </si>
  <si>
    <t>EBITDA Margin (%)</t>
  </si>
  <si>
    <t>Depreciation &amp; Amortisation</t>
  </si>
  <si>
    <t>EBIT Margin (%)</t>
  </si>
  <si>
    <t>Pretax Profit</t>
  </si>
  <si>
    <t>Tax</t>
  </si>
  <si>
    <t>Tax Rate (%)</t>
  </si>
  <si>
    <t>Minorities</t>
  </si>
  <si>
    <t>NPAT Underlying</t>
  </si>
  <si>
    <t>Significant Items</t>
  </si>
  <si>
    <t>NPAT Reported</t>
  </si>
  <si>
    <t>USD$</t>
  </si>
  <si>
    <t>Cashflow (USD) (m)</t>
  </si>
  <si>
    <t>Tax Paid</t>
  </si>
  <si>
    <t>Change in Working Capital</t>
  </si>
  <si>
    <t>Other</t>
  </si>
  <si>
    <t>Capex</t>
  </si>
  <si>
    <t>Acquisitions and Investments</t>
  </si>
  <si>
    <t>Disposal of Fixed Assets/Investments</t>
  </si>
  <si>
    <t>Investing Cashflow</t>
  </si>
  <si>
    <t>Equity Raised / Bought Back</t>
  </si>
  <si>
    <t>Dividends Paid</t>
  </si>
  <si>
    <t>Change in Debt</t>
  </si>
  <si>
    <t>Financing Cashflow</t>
  </si>
  <si>
    <t>Exchange Rate Effect</t>
  </si>
  <si>
    <t>Net Change in Cash</t>
  </si>
  <si>
    <t>Balance Sheet (USD) (m)</t>
  </si>
  <si>
    <t>Accounts Receivable</t>
  </si>
  <si>
    <t>Inventory</t>
  </si>
  <si>
    <t>Other Current Assets</t>
  </si>
  <si>
    <t>PPE</t>
  </si>
  <si>
    <t>Goodwill &amp; Intangibles</t>
  </si>
  <si>
    <t>Investments</t>
  </si>
  <si>
    <t>Other Non Current Assets</t>
  </si>
  <si>
    <t>Total Assets</t>
  </si>
  <si>
    <t>Accounts Payable</t>
  </si>
  <si>
    <t>Short Term Debt</t>
  </si>
  <si>
    <t>Long Term Debt</t>
  </si>
  <si>
    <t>Income Taxes Payable</t>
  </si>
  <si>
    <t>ROE (%)</t>
  </si>
  <si>
    <t>ROIC (%)</t>
  </si>
  <si>
    <t>Gearing (%)</t>
  </si>
  <si>
    <t>Net Debt / EBITDA (x)</t>
  </si>
  <si>
    <t>Price to Book (x)</t>
  </si>
  <si>
    <t>Key Financial Ratios</t>
  </si>
  <si>
    <t>BHP Limited</t>
  </si>
  <si>
    <t>Ticker</t>
  </si>
  <si>
    <t>Share Price</t>
  </si>
  <si>
    <t>BHP.ASX</t>
  </si>
  <si>
    <t>Shares Outstading  - Basic (M)</t>
  </si>
  <si>
    <t>Shares Outstading  - Diluted (M)</t>
  </si>
  <si>
    <t>Total Non-Current Assets</t>
  </si>
  <si>
    <t>Total Current Assets</t>
  </si>
  <si>
    <t>Total Equity</t>
  </si>
  <si>
    <t>Date</t>
  </si>
  <si>
    <t>Dividend Yield (%) - NTM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</si>
  <si>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</si>
  <si>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</si>
  <si>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</si>
  <si>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</si>
  <si>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</si>
  <si>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</si>
  <si>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</si>
  <si>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</si>
  <si>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Key Items</t>
  </si>
  <si>
    <t>Data</t>
  </si>
  <si>
    <t>Recommendation</t>
  </si>
  <si>
    <t>Risk</t>
  </si>
  <si>
    <t>Current Price</t>
  </si>
  <si>
    <t>Target Price</t>
  </si>
  <si>
    <t>52-Week Range</t>
  </si>
  <si>
    <t>Share on Issue (m)</t>
  </si>
  <si>
    <t>Implied TSR (%)</t>
  </si>
  <si>
    <t>Valuation</t>
  </si>
  <si>
    <t>Beta</t>
  </si>
  <si>
    <t>Cost of Equity (%)</t>
  </si>
  <si>
    <t>ROCTE (%)</t>
  </si>
  <si>
    <t>Normalised NI Growth (%)</t>
  </si>
  <si>
    <t xml:space="preserve">Valuation per share </t>
  </si>
  <si>
    <t>Buy</t>
  </si>
  <si>
    <t>Medium</t>
  </si>
  <si>
    <t>$71.45 - $87.74</t>
  </si>
  <si>
    <t>128.191B</t>
  </si>
  <si>
    <t>Market Cap ($B)</t>
  </si>
  <si>
    <t>By Kaiden Gilbert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</si>
</sst>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164" formatCode="General\A"/>
    <numFmt numFmtId="165" formatCode="General\F"/>
    <numFmt numFmtId="166" formatCode="0.0%"/>
    <numFmt numFmtId="167" formatCode="#,##0.0;\(##0.0\)"/>
    <numFmt numFmtId="168" formatCode="#,##0;\(#,##0\)"/>
    <numFmt numFmtId="169" formatCode="0.0"/>
    <numFmt numFmtId="170" formatCode="#,##0.0;\(#,##0.0\)"/>
    <numFmt numFmtId="171" formatCode="#,##0.0\x;\(#,##0.0\x\)"/>
    <numFmt numFmtId="172" formatCode="0.0\x"/>
    <numFmt numFmtId="173" formatCode="#,##0.0;\(#,##0.0%\)"/>
    <numFmt numFmtId="174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3FF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FF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color rgb="FF222222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2" xfId="0" applyBorder="1"/>
    <xf numFmtId="0" fontId="0" fillId="0" borderId="0" xfId="0" applyFill="1" applyBorder="1"/>
    <xf numFmtId="0" fontId="0" fillId="0" borderId="2" xfId="0" applyFill="1" applyBorder="1"/>
    <xf numFmtId="0" fontId="3" fillId="0" borderId="0" xfId="0" applyFont="1"/>
    <xf numFmtId="164" fontId="0" fillId="0" borderId="2" xfId="0" applyNumberFormat="1" applyBorder="1"/>
    <xf numFmtId="165" fontId="0" fillId="0" borderId="2" xfId="0" applyNumberFormat="1" applyBorder="1"/>
    <xf numFmtId="0" fontId="9" fillId="0" borderId="0" xfId="0" applyFont="1"/>
    <xf numFmtId="0" fontId="8" fillId="0" borderId="0" xfId="3" applyFont="1" applyAlignment="1" applyProtection="1">
      <alignment horizontal="left"/>
      <protection locked="0"/>
    </xf>
    <xf numFmtId="0" fontId="10" fillId="0" borderId="0" xfId="0" applyFont="1"/>
    <xf numFmtId="1" fontId="10" fillId="0" borderId="0" xfId="0" applyNumberFormat="1" applyFont="1"/>
    <xf numFmtId="166" fontId="0" fillId="0" borderId="0" xfId="1" applyNumberFormat="1" applyFont="1"/>
    <xf numFmtId="9" fontId="0" fillId="0" borderId="0" xfId="1" applyNumberFormat="1" applyFont="1"/>
    <xf numFmtId="9" fontId="0" fillId="0" borderId="0" xfId="0" applyNumberFormat="1"/>
    <xf numFmtId="0" fontId="0" fillId="0" borderId="0" xfId="0" applyAlignment="1">
      <alignment horizontal="left" indent="1"/>
    </xf>
    <xf numFmtId="0" fontId="6" fillId="0" borderId="0" xfId="3" applyProtection="1">
      <protection locked="0"/>
    </xf>
    <xf numFmtId="0" fontId="7" fillId="0" borderId="1" xfId="3" applyFont="1" applyBorder="1" applyProtection="1">
      <protection locked="0"/>
    </xf>
    <xf numFmtId="3" fontId="6" fillId="0" borderId="0" xfId="3" applyNumberFormat="1" applyProtection="1">
      <protection locked="0"/>
    </xf>
    <xf numFmtId="3" fontId="7" fillId="0" borderId="1" xfId="3" applyNumberFormat="1" applyFont="1" applyBorder="1" applyProtection="1">
      <protection locked="0"/>
    </xf>
    <xf numFmtId="0" fontId="6" fillId="0" borderId="0" xfId="3" applyFill="1" applyProtection="1">
      <protection locked="0"/>
    </xf>
    <xf numFmtId="0" fontId="6" fillId="0" borderId="0" xfId="3" applyAlignment="1" applyProtection="1">
      <alignment horizontal="left" indent="1"/>
      <protection locked="0"/>
    </xf>
    <xf numFmtId="0" fontId="6" fillId="0" borderId="2" xfId="3" applyBorder="1" applyAlignment="1" applyProtection="1">
      <alignment horizontal="left" indent="1"/>
      <protection locked="0"/>
    </xf>
    <xf numFmtId="167" fontId="0" fillId="0" borderId="0" xfId="0" applyNumberFormat="1"/>
    <xf numFmtId="167" fontId="0" fillId="0" borderId="2" xfId="0" applyNumberFormat="1" applyBorder="1"/>
    <xf numFmtId="0" fontId="0" fillId="0" borderId="2" xfId="0" applyBorder="1" applyAlignment="1">
      <alignment horizontal="left" indent="1"/>
    </xf>
    <xf numFmtId="0" fontId="0" fillId="0" borderId="0" xfId="0" applyFont="1"/>
    <xf numFmtId="0" fontId="11" fillId="0" borderId="0" xfId="0" applyFont="1" applyAlignment="1">
      <alignment horizontal="left" indent="1"/>
    </xf>
    <xf numFmtId="166" fontId="11" fillId="0" borderId="0" xfId="1" applyNumberFormat="1" applyFont="1"/>
    <xf numFmtId="9" fontId="11" fillId="0" borderId="0" xfId="1" applyFont="1"/>
    <xf numFmtId="0" fontId="13" fillId="0" borderId="0" xfId="0" applyFont="1"/>
    <xf numFmtId="0" fontId="13" fillId="0" borderId="2" xfId="0" applyFont="1" applyBorder="1"/>
    <xf numFmtId="0" fontId="14" fillId="0" borderId="0" xfId="0" applyFont="1"/>
    <xf numFmtId="0" fontId="13" fillId="0" borderId="0" xfId="0" applyFont="1" applyFill="1" applyBorder="1"/>
    <xf numFmtId="0" fontId="3" fillId="0" borderId="0" xfId="0" applyFont="1" applyAlignment="1">
      <alignment horizontal="left" indent="1"/>
    </xf>
    <xf numFmtId="0" fontId="3" fillId="0" borderId="2" xfId="0" applyFont="1" applyBorder="1"/>
    <xf numFmtId="0" fontId="12" fillId="0" borderId="0" xfId="0" applyFont="1" applyAlignment="1">
      <alignment horizontal="left" indent="1"/>
    </xf>
    <xf numFmtId="0" fontId="2" fillId="2" borderId="0" xfId="0" applyFont="1" applyFill="1"/>
    <xf numFmtId="0" fontId="0" fillId="0" borderId="3" xfId="0" applyBorder="1"/>
    <xf numFmtId="0" fontId="2" fillId="2" borderId="2" xfId="0" applyFont="1" applyFill="1" applyBorder="1"/>
    <xf numFmtId="0" fontId="3" fillId="0" borderId="0" xfId="0" applyFont="1" applyFill="1" applyBorder="1"/>
    <xf numFmtId="0" fontId="0" fillId="0" borderId="0" xfId="0" applyAlignment="1">
      <alignment horizontal="left"/>
    </xf>
    <xf numFmtId="10" fontId="11" fillId="0" borderId="0" xfId="1" applyNumberFormat="1" applyFont="1"/>
    <xf numFmtId="0" fontId="4" fillId="2" borderId="0" xfId="0" applyFont="1" applyFill="1"/>
    <xf numFmtId="0" fontId="15" fillId="2" borderId="0" xfId="0" applyFont="1" applyFill="1"/>
    <xf numFmtId="0" fontId="16" fillId="0" borderId="0" xfId="0" applyFont="1"/>
    <xf numFmtId="0" fontId="16" fillId="0" borderId="2" xfId="0" applyFont="1" applyBorder="1"/>
    <xf numFmtId="0" fontId="17" fillId="0" borderId="0" xfId="0" applyFont="1"/>
    <xf numFmtId="0" fontId="18" fillId="0" borderId="2" xfId="0" applyFont="1" applyBorder="1"/>
    <xf numFmtId="164" fontId="16" fillId="0" borderId="2" xfId="0" applyNumberFormat="1" applyFont="1" applyBorder="1"/>
    <xf numFmtId="165" fontId="16" fillId="0" borderId="2" xfId="0" applyNumberFormat="1" applyFont="1" applyBorder="1"/>
    <xf numFmtId="0" fontId="19" fillId="0" borderId="0" xfId="3" applyFont="1" applyAlignment="1" applyProtection="1">
      <alignment horizontal="left"/>
      <protection locked="0"/>
    </xf>
    <xf numFmtId="0" fontId="18" fillId="0" borderId="0" xfId="0" applyFont="1"/>
    <xf numFmtId="0" fontId="16" fillId="0" borderId="0" xfId="0" applyFont="1" applyFill="1" applyBorder="1"/>
    <xf numFmtId="0" fontId="20" fillId="0" borderId="0" xfId="0" applyFont="1"/>
    <xf numFmtId="0" fontId="21" fillId="2" borderId="0" xfId="0" applyFont="1" applyFill="1"/>
    <xf numFmtId="0" fontId="16" fillId="0" borderId="0" xfId="0" applyFont="1" applyAlignment="1">
      <alignment horizontal="left" indent="1"/>
    </xf>
    <xf numFmtId="3" fontId="16" fillId="0" borderId="0" xfId="0" applyNumberFormat="1" applyFont="1"/>
    <xf numFmtId="3" fontId="18" fillId="0" borderId="0" xfId="0" applyNumberFormat="1" applyFont="1"/>
    <xf numFmtId="0" fontId="16" fillId="0" borderId="2" xfId="0" applyFont="1" applyBorder="1" applyAlignment="1">
      <alignment horizontal="left" indent="1"/>
    </xf>
    <xf numFmtId="3" fontId="16" fillId="0" borderId="2" xfId="0" applyNumberFormat="1" applyFont="1" applyBorder="1"/>
    <xf numFmtId="168" fontId="16" fillId="0" borderId="0" xfId="0" applyNumberFormat="1" applyFont="1"/>
    <xf numFmtId="168" fontId="16" fillId="0" borderId="2" xfId="0" applyNumberFormat="1" applyFont="1" applyBorder="1"/>
    <xf numFmtId="168" fontId="18" fillId="0" borderId="0" xfId="0" applyNumberFormat="1" applyFont="1"/>
    <xf numFmtId="164" fontId="18" fillId="0" borderId="2" xfId="0" applyNumberFormat="1" applyFont="1" applyBorder="1"/>
    <xf numFmtId="165" fontId="18" fillId="0" borderId="2" xfId="0" applyNumberFormat="1" applyFont="1" applyBorder="1"/>
    <xf numFmtId="3" fontId="17" fillId="0" borderId="0" xfId="0" applyNumberFormat="1" applyFont="1"/>
    <xf numFmtId="3" fontId="17" fillId="0" borderId="2" xfId="0" applyNumberFormat="1" applyFont="1" applyBorder="1"/>
    <xf numFmtId="168" fontId="17" fillId="0" borderId="0" xfId="0" applyNumberFormat="1" applyFont="1"/>
    <xf numFmtId="168" fontId="17" fillId="0" borderId="2" xfId="0" applyNumberFormat="1" applyFont="1" applyBorder="1"/>
    <xf numFmtId="3" fontId="22" fillId="0" borderId="0" xfId="0" applyNumberFormat="1" applyFont="1"/>
    <xf numFmtId="166" fontId="0" fillId="0" borderId="0" xfId="0" applyNumberFormat="1"/>
    <xf numFmtId="166" fontId="9" fillId="0" borderId="0" xfId="0" applyNumberFormat="1" applyFont="1"/>
    <xf numFmtId="1" fontId="16" fillId="0" borderId="0" xfId="0" applyNumberFormat="1" applyFont="1"/>
    <xf numFmtId="0" fontId="23" fillId="0" borderId="0" xfId="0" applyFont="1"/>
    <xf numFmtId="0" fontId="24" fillId="0" borderId="0" xfId="3" applyFont="1" applyAlignment="1" applyProtection="1">
      <alignment horizontal="left"/>
      <protection locked="0"/>
    </xf>
    <xf numFmtId="0" fontId="25" fillId="0" borderId="0" xfId="0" applyFont="1"/>
    <xf numFmtId="0" fontId="26" fillId="0" borderId="0" xfId="0" applyFont="1" applyBorder="1"/>
    <xf numFmtId="0" fontId="26" fillId="0" borderId="0" xfId="0" applyFont="1"/>
    <xf numFmtId="0" fontId="27" fillId="0" borderId="0" xfId="3" applyFont="1" applyAlignment="1" applyProtection="1">
      <alignment horizontal="left"/>
      <protection locked="0"/>
    </xf>
    <xf numFmtId="0" fontId="26" fillId="0" borderId="0" xfId="0" applyFont="1" applyFill="1" applyBorder="1"/>
    <xf numFmtId="0" fontId="28" fillId="0" borderId="0" xfId="0" applyFont="1"/>
    <xf numFmtId="0" fontId="29" fillId="0" borderId="0" xfId="0" applyFont="1"/>
    <xf numFmtId="0" fontId="31" fillId="2" borderId="0" xfId="0" applyFont="1" applyFill="1"/>
    <xf numFmtId="0" fontId="23" fillId="2" borderId="0" xfId="0" applyFont="1" applyFill="1"/>
    <xf numFmtId="0" fontId="32" fillId="2" borderId="0" xfId="0" applyFont="1" applyFill="1"/>
    <xf numFmtId="44" fontId="32" fillId="2" borderId="0" xfId="4" applyFont="1" applyFill="1"/>
    <xf numFmtId="0" fontId="31" fillId="2" borderId="0" xfId="3" applyFont="1" applyFill="1" applyBorder="1" applyAlignment="1" applyProtection="1">
      <alignment horizontal="left"/>
      <protection locked="0"/>
    </xf>
    <xf numFmtId="0" fontId="31" fillId="2" borderId="0" xfId="0" applyFont="1" applyFill="1" applyBorder="1"/>
    <xf numFmtId="0" fontId="25" fillId="0" borderId="0" xfId="0" applyFont="1" applyBorder="1"/>
    <xf numFmtId="0" fontId="33" fillId="0" borderId="0" xfId="3" applyFont="1" applyAlignment="1" applyProtection="1">
      <alignment horizontal="left"/>
      <protection locked="0"/>
    </xf>
    <xf numFmtId="3" fontId="34" fillId="0" borderId="0" xfId="0" applyNumberFormat="1" applyFont="1"/>
    <xf numFmtId="166" fontId="34" fillId="0" borderId="0" xfId="0" applyNumberFormat="1" applyFont="1"/>
    <xf numFmtId="1" fontId="34" fillId="0" borderId="0" xfId="0" applyNumberFormat="1" applyFont="1"/>
    <xf numFmtId="0" fontId="34" fillId="0" borderId="0" xfId="0" applyNumberFormat="1" applyFont="1"/>
    <xf numFmtId="168" fontId="23" fillId="0" borderId="0" xfId="0" applyNumberFormat="1" applyFont="1"/>
    <xf numFmtId="169" fontId="34" fillId="0" borderId="0" xfId="0" applyNumberFormat="1" applyFont="1"/>
    <xf numFmtId="0" fontId="35" fillId="2" borderId="0" xfId="0" applyFont="1" applyFill="1" applyBorder="1"/>
    <xf numFmtId="164" fontId="35" fillId="2" borderId="0" xfId="0" applyNumberFormat="1" applyFont="1" applyFill="1" applyBorder="1"/>
    <xf numFmtId="165" fontId="35" fillId="2" borderId="0" xfId="0" applyNumberFormat="1" applyFont="1" applyFill="1" applyBorder="1"/>
    <xf numFmtId="0" fontId="26" fillId="3" borderId="0" xfId="0" applyFont="1" applyFill="1"/>
    <xf numFmtId="170" fontId="36" fillId="0" borderId="0" xfId="0" applyNumberFormat="1" applyFont="1"/>
    <xf numFmtId="170" fontId="36" fillId="3" borderId="0" xfId="0" applyNumberFormat="1" applyFont="1" applyFill="1"/>
    <xf numFmtId="9" fontId="36" fillId="0" borderId="0" xfId="1" applyFont="1"/>
    <xf numFmtId="171" fontId="36" fillId="0" borderId="0" xfId="0" applyNumberFormat="1" applyFont="1"/>
    <xf numFmtId="171" fontId="36" fillId="3" borderId="0" xfId="0" applyNumberFormat="1" applyFont="1" applyFill="1"/>
    <xf numFmtId="168" fontId="36" fillId="0" borderId="0" xfId="0" applyNumberFormat="1" applyFont="1"/>
    <xf numFmtId="168" fontId="36" fillId="3" borderId="0" xfId="0" applyNumberFormat="1" applyFont="1" applyFill="1"/>
    <xf numFmtId="3" fontId="36" fillId="0" borderId="0" xfId="0" applyNumberFormat="1" applyFont="1"/>
    <xf numFmtId="166" fontId="36" fillId="0" borderId="0" xfId="0" applyNumberFormat="1" applyFont="1"/>
    <xf numFmtId="1" fontId="36" fillId="0" borderId="0" xfId="0" applyNumberFormat="1" applyFont="1"/>
    <xf numFmtId="168" fontId="38" fillId="0" borderId="0" xfId="0" applyNumberFormat="1" applyFont="1"/>
    <xf numFmtId="168" fontId="38" fillId="3" borderId="0" xfId="0" applyNumberFormat="1" applyFont="1" applyFill="1"/>
    <xf numFmtId="9" fontId="37" fillId="0" borderId="0" xfId="1" applyNumberFormat="1" applyFont="1"/>
    <xf numFmtId="9" fontId="37" fillId="3" borderId="0" xfId="1" applyNumberFormat="1" applyFont="1" applyFill="1"/>
    <xf numFmtId="3" fontId="36" fillId="0" borderId="2" xfId="0" applyNumberFormat="1" applyFont="1" applyBorder="1"/>
    <xf numFmtId="168" fontId="36" fillId="0" borderId="2" xfId="0" applyNumberFormat="1" applyFont="1" applyBorder="1"/>
    <xf numFmtId="168" fontId="36" fillId="3" borderId="2" xfId="0" applyNumberFormat="1" applyFont="1" applyFill="1" applyBorder="1"/>
    <xf numFmtId="1" fontId="36" fillId="0" borderId="2" xfId="0" applyNumberFormat="1" applyFont="1" applyBorder="1"/>
    <xf numFmtId="168" fontId="38" fillId="0" borderId="2" xfId="0" applyNumberFormat="1" applyFont="1" applyBorder="1"/>
    <xf numFmtId="168" fontId="38" fillId="3" borderId="2" xfId="0" applyNumberFormat="1" applyFont="1" applyFill="1" applyBorder="1"/>
    <xf numFmtId="166" fontId="36" fillId="3" borderId="0" xfId="0" applyNumberFormat="1" applyFont="1" applyFill="1"/>
    <xf numFmtId="169" fontId="36" fillId="0" borderId="0" xfId="0" applyNumberFormat="1" applyFont="1"/>
    <xf numFmtId="0" fontId="39" fillId="0" borderId="0" xfId="3" applyFont="1" applyAlignment="1" applyProtection="1">
      <alignment horizontal="left"/>
      <protection locked="0"/>
    </xf>
    <xf numFmtId="0" fontId="26" fillId="0" borderId="2" xfId="0" applyFont="1" applyBorder="1"/>
    <xf numFmtId="0" fontId="40" fillId="0" borderId="0" xfId="3" applyFont="1" applyAlignment="1" applyProtection="1">
      <alignment horizontal="left"/>
      <protection locked="0"/>
    </xf>
    <xf numFmtId="0" fontId="29" fillId="0" borderId="2" xfId="0" applyFont="1" applyBorder="1"/>
    <xf numFmtId="0" fontId="27" fillId="0" borderId="2" xfId="3" applyFont="1" applyBorder="1" applyAlignment="1" applyProtection="1">
      <alignment horizontal="left"/>
      <protection locked="0"/>
    </xf>
    <xf numFmtId="0" fontId="39" fillId="0" borderId="2" xfId="3" applyFont="1" applyBorder="1" applyAlignment="1" applyProtection="1">
      <alignment horizontal="left"/>
      <protection locked="0"/>
    </xf>
    <xf numFmtId="9" fontId="36" fillId="3" borderId="0" xfId="1" applyFont="1" applyFill="1"/>
    <xf numFmtId="166" fontId="36" fillId="0" borderId="0" xfId="1" applyNumberFormat="1" applyFont="1"/>
    <xf numFmtId="166" fontId="36" fillId="3" borderId="0" xfId="1" applyNumberFormat="1" applyFont="1" applyFill="1"/>
    <xf numFmtId="172" fontId="36" fillId="0" borderId="0" xfId="0" applyNumberFormat="1" applyFont="1"/>
    <xf numFmtId="172" fontId="36" fillId="3" borderId="0" xfId="0" applyNumberFormat="1" applyFont="1" applyFill="1"/>
    <xf numFmtId="173" fontId="36" fillId="0" borderId="0" xfId="1" applyNumberFormat="1" applyFont="1"/>
    <xf numFmtId="173" fontId="37" fillId="0" borderId="0" xfId="1" applyNumberFormat="1" applyFont="1"/>
    <xf numFmtId="166" fontId="37" fillId="0" borderId="0" xfId="1" applyNumberFormat="1" applyFont="1"/>
    <xf numFmtId="166" fontId="37" fillId="3" borderId="0" xfId="1" applyNumberFormat="1" applyFont="1" applyFill="1"/>
    <xf numFmtId="173" fontId="37" fillId="0" borderId="0" xfId="1" applyNumberFormat="1" applyFont="1" applyAlignment="1">
      <alignment horizontal="right"/>
    </xf>
    <xf numFmtId="173" fontId="37" fillId="3" borderId="0" xfId="1" applyNumberFormat="1" applyFont="1" applyFill="1" applyAlignment="1">
      <alignment horizontal="right"/>
    </xf>
    <xf numFmtId="166" fontId="36" fillId="0" borderId="0" xfId="0" applyNumberFormat="1" applyFont="1" applyFill="1"/>
    <xf numFmtId="9" fontId="36" fillId="0" borderId="0" xfId="1" applyFont="1" applyFill="1"/>
    <xf numFmtId="172" fontId="36" fillId="0" borderId="0" xfId="0" applyNumberFormat="1" applyFont="1" applyFill="1"/>
    <xf numFmtId="0" fontId="27" fillId="0" borderId="0" xfId="3" applyFont="1" applyFill="1" applyAlignment="1" applyProtection="1">
      <alignment horizontal="left"/>
      <protection locked="0"/>
    </xf>
    <xf numFmtId="0" fontId="27" fillId="0" borderId="0" xfId="3" applyFont="1" applyFill="1" applyAlignment="1" applyProtection="1">
      <protection locked="0"/>
    </xf>
    <xf numFmtId="0" fontId="31" fillId="2" borderId="0" xfId="0" applyFont="1" applyFill="1" applyBorder="1" applyAlignment="1">
      <alignment horizontal="right"/>
    </xf>
    <xf numFmtId="0" fontId="41" fillId="2" borderId="0" xfId="0" applyFont="1" applyFill="1"/>
    <xf numFmtId="0" fontId="26" fillId="0" borderId="0" xfId="1" applyNumberFormat="1" applyFont="1"/>
    <xf numFmtId="166" fontId="26" fillId="0" borderId="0" xfId="1" applyNumberFormat="1" applyFont="1"/>
    <xf numFmtId="174" fontId="26" fillId="0" borderId="0" xfId="4" applyNumberFormat="1" applyFont="1" applyAlignment="1">
      <alignment horizontal="right"/>
    </xf>
    <xf numFmtId="0" fontId="26" fillId="0" borderId="0" xfId="1" applyNumberFormat="1" applyFont="1" applyAlignment="1">
      <alignment horizontal="right"/>
    </xf>
    <xf numFmtId="166" fontId="26" fillId="0" borderId="0" xfId="1" applyNumberFormat="1" applyFont="1" applyAlignment="1">
      <alignment horizontal="right"/>
    </xf>
    <xf numFmtId="10" fontId="26" fillId="0" borderId="0" xfId="1" applyNumberFormat="1" applyFont="1" applyAlignment="1">
      <alignment horizontal="right"/>
    </xf>
    <xf numFmtId="174" fontId="0" fillId="0" borderId="0" xfId="0" applyNumberFormat="1"/>
    <xf numFmtId="8" fontId="23" fillId="0" borderId="0" xfId="0" applyNumberFormat="1" applyFont="1"/>
    <xf numFmtId="10" fontId="0" fillId="0" borderId="0" xfId="1" applyNumberFormat="1" applyFont="1"/>
    <xf numFmtId="0" fontId="30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</cellXfs>
  <cellStyles count="5">
    <cellStyle name="Currency" xfId="4" builtinId="4"/>
    <cellStyle name="Normal" xfId="0" builtinId="0"/>
    <cellStyle name="Normal 2" xfId="2" xr:uid="{00000000-0005-0000-0000-00002F000000}"/>
    <cellStyle name="Normal 3" xfId="3" xr:uid="{00000000-0005-0000-0000-000030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BHP Billiton Limited -</a:t>
            </a:r>
            <a:r>
              <a:rPr lang="en-US" baseline="0">
                <a:solidFill>
                  <a:schemeClr val="tx1"/>
                </a:solidFill>
              </a:rPr>
              <a:t> Dividend Yield (%)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31714785651794"/>
          <c:y val="0.17634259259259263"/>
          <c:w val="0.87868285214348207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'Simple Div Yield'!$B$2</c:f>
              <c:strCache>
                <c:ptCount val="1"/>
                <c:pt idx="0">
                  <c:v>Dividend Yield (%) - NTM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'Simple Div Yield'!$A$3:$A$10</c:f>
              <c:strCache>
                <c:ptCount val="8"/>
                <c:pt idx="0">
                  <c:v>FY2013</c:v>
                </c:pt>
                <c:pt idx="1">
                  <c:v>FY2014</c:v>
                </c:pt>
                <c:pt idx="2">
                  <c:v>FY2015</c:v>
                </c:pt>
                <c:pt idx="3">
                  <c:v>FY2016</c:v>
                </c:pt>
                <c:pt idx="4">
                  <c:v>FY2017</c:v>
                </c:pt>
                <c:pt idx="5">
                  <c:v>FY2018</c:v>
                </c:pt>
                <c:pt idx="6">
                  <c:v>FY2019</c:v>
                </c:pt>
                <c:pt idx="7">
                  <c:v>FY2020</c:v>
                </c:pt>
              </c:strCache>
            </c:strRef>
          </c:cat>
          <c:val>
            <c:numRef>
              <c:f>'Simple Div Yield'!$B$3:$B$10</c:f>
              <c:numCache>
                <c:formatCode>0.0%</c:formatCode>
                <c:ptCount val="8"/>
                <c:pt idx="0">
                  <c:v>3.7999999999999999E-2</c:v>
                </c:pt>
                <c:pt idx="1">
                  <c:v>3.6999999999999998E-2</c:v>
                </c:pt>
                <c:pt idx="2" formatCode="0%">
                  <c:v>0.06</c:v>
                </c:pt>
                <c:pt idx="3">
                  <c:v>2.1000000000000001E-2</c:v>
                </c:pt>
                <c:pt idx="4">
                  <c:v>4.5999999999999999E-2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D-42E8-BE01-69073249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280664"/>
        <c:axId val="412280336"/>
      </c:lineChart>
      <c:catAx>
        <c:axId val="41228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0336"/>
        <c:crosses val="autoZero"/>
        <c:auto val="1"/>
        <c:lblAlgn val="ctr"/>
        <c:lblOffset val="100"/>
        <c:noMultiLvlLbl val="0"/>
      </c:catAx>
      <c:valAx>
        <c:axId val="41228033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11</xdr:row>
      <xdr:rowOff>34290</xdr:rowOff>
    </xdr:from>
    <xdr:to>
      <xdr:col>10</xdr:col>
      <xdr:colOff>525780</xdr:colOff>
      <xdr:row>26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EB907B-D618-4D38-8885-7BD903E0C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2F6D-5F42-4D41-A3DB-6114907B300E}">
  <dimension ref="A1:E29"/>
  <sheetViews>
    <sheetView workbookViewId="0">
      <selection activeCell="D26" sqref="D26"/>
    </sheetView>
  </sheetViews>
  <sheetFormatPr defaultRowHeight="15" x14ac:dyDescent="0.25"/>
  <cols>
    <col min="1" max="1" width="47.5703125" bestFit="1" customWidth="1"/>
    <col min="2" max="2" width="6.42578125" bestFit="1" customWidth="1"/>
  </cols>
  <sheetData>
    <row r="1" spans="1:5" x14ac:dyDescent="0.25">
      <c r="C1">
        <v>2015</v>
      </c>
      <c r="D1">
        <v>2016</v>
      </c>
      <c r="E1">
        <v>2017</v>
      </c>
    </row>
    <row r="2" spans="1:5" x14ac:dyDescent="0.25">
      <c r="A2" t="s">
        <v>67</v>
      </c>
      <c r="C2">
        <v>5333</v>
      </c>
      <c r="D2">
        <v>5322</v>
      </c>
      <c r="E2">
        <v>5336</v>
      </c>
    </row>
    <row r="3" spans="1:5" x14ac:dyDescent="0.25">
      <c r="A3" t="s">
        <v>68</v>
      </c>
      <c r="B3" s="15"/>
      <c r="C3">
        <v>0.35799999999999998</v>
      </c>
      <c r="D3">
        <v>-1.2</v>
      </c>
      <c r="E3">
        <v>1.1040000000000001</v>
      </c>
    </row>
    <row r="4" spans="1:5" x14ac:dyDescent="0.25">
      <c r="B4" s="15"/>
    </row>
    <row r="5" spans="1:5" x14ac:dyDescent="0.25">
      <c r="A5" s="15" t="s">
        <v>39</v>
      </c>
      <c r="B5" s="17"/>
    </row>
    <row r="6" spans="1:5" x14ac:dyDescent="0.25">
      <c r="A6" s="15" t="s">
        <v>7</v>
      </c>
      <c r="B6" s="17"/>
    </row>
    <row r="7" spans="1:5" x14ac:dyDescent="0.25">
      <c r="A7" s="15" t="s">
        <v>8</v>
      </c>
      <c r="B7" s="17"/>
    </row>
    <row r="8" spans="1:5" x14ac:dyDescent="0.25">
      <c r="A8" s="15" t="s">
        <v>9</v>
      </c>
      <c r="B8" s="17"/>
    </row>
    <row r="9" spans="1:5" x14ac:dyDescent="0.25">
      <c r="A9" s="15" t="s">
        <v>10</v>
      </c>
      <c r="B9" s="17"/>
    </row>
    <row r="10" spans="1:5" x14ac:dyDescent="0.25">
      <c r="A10" s="15" t="s">
        <v>11</v>
      </c>
      <c r="B10" s="17"/>
    </row>
    <row r="11" spans="1:5" x14ac:dyDescent="0.25">
      <c r="A11" s="16" t="s">
        <v>40</v>
      </c>
      <c r="B11" s="18"/>
    </row>
    <row r="14" spans="1:5" x14ac:dyDescent="0.25">
      <c r="A14" t="s">
        <v>41</v>
      </c>
    </row>
    <row r="15" spans="1:5" x14ac:dyDescent="0.25">
      <c r="A15" s="14" t="s">
        <v>42</v>
      </c>
    </row>
    <row r="16" spans="1:5" x14ac:dyDescent="0.25">
      <c r="A16" s="14" t="s">
        <v>43</v>
      </c>
    </row>
    <row r="17" spans="1:4" x14ac:dyDescent="0.25">
      <c r="A17" t="s">
        <v>44</v>
      </c>
    </row>
    <row r="18" spans="1:4" x14ac:dyDescent="0.25">
      <c r="D18" s="14"/>
    </row>
    <row r="20" spans="1:4" x14ac:dyDescent="0.25">
      <c r="A20" t="s">
        <v>45</v>
      </c>
    </row>
    <row r="21" spans="1:4" x14ac:dyDescent="0.25">
      <c r="A21" t="s">
        <v>47</v>
      </c>
    </row>
    <row r="22" spans="1:4" x14ac:dyDescent="0.25">
      <c r="A22" s="15" t="s">
        <v>7</v>
      </c>
      <c r="B22">
        <v>7.7</v>
      </c>
    </row>
    <row r="23" spans="1:4" x14ac:dyDescent="0.25">
      <c r="A23" s="15" t="s">
        <v>8</v>
      </c>
      <c r="B23">
        <v>0.1</v>
      </c>
    </row>
    <row r="24" spans="1:4" x14ac:dyDescent="0.25">
      <c r="A24" s="15" t="s">
        <v>9</v>
      </c>
      <c r="B24">
        <v>1.8</v>
      </c>
    </row>
    <row r="25" spans="1:4" x14ac:dyDescent="0.25">
      <c r="A25" s="15" t="s">
        <v>10</v>
      </c>
      <c r="B25">
        <v>0.1</v>
      </c>
    </row>
    <row r="26" spans="1:4" x14ac:dyDescent="0.25">
      <c r="A26" s="20" t="s">
        <v>48</v>
      </c>
      <c r="B26">
        <v>0.2</v>
      </c>
    </row>
    <row r="27" spans="1:4" x14ac:dyDescent="0.25">
      <c r="A27" s="21" t="s">
        <v>49</v>
      </c>
      <c r="B27" s="22">
        <v>-0.3</v>
      </c>
    </row>
    <row r="28" spans="1:4" x14ac:dyDescent="0.25">
      <c r="A28" s="19" t="s">
        <v>50</v>
      </c>
      <c r="B28" s="23">
        <v>-2.2999999999999998</v>
      </c>
    </row>
    <row r="29" spans="1:4" x14ac:dyDescent="0.25">
      <c r="B29">
        <f>SUM(B22:B28)</f>
        <v>7.299999999999998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CBAD-480B-42D5-A2E9-03DEF18809F3}">
  <dimension ref="B2:O31"/>
  <sheetViews>
    <sheetView workbookViewId="0">
      <selection activeCell="D33" sqref="D33"/>
    </sheetView>
  </sheetViews>
  <sheetFormatPr defaultRowHeight="15" x14ac:dyDescent="0.25"/>
  <cols>
    <col min="1" max="1" width="2.7109375" customWidth="1"/>
    <col min="4" max="4" width="13" customWidth="1"/>
    <col min="6" max="6" width="9.85546875" bestFit="1" customWidth="1"/>
    <col min="7" max="7" width="8.140625" customWidth="1"/>
    <col min="12" max="12" width="11.5703125" customWidth="1"/>
  </cols>
  <sheetData>
    <row r="2" spans="2:15" x14ac:dyDescent="0.25">
      <c r="B2" s="1" t="s">
        <v>6</v>
      </c>
      <c r="C2" s="1"/>
      <c r="D2" s="1"/>
      <c r="E2" s="1" t="s">
        <v>3</v>
      </c>
      <c r="F2" s="5">
        <v>2017</v>
      </c>
      <c r="G2" s="6">
        <v>2018</v>
      </c>
      <c r="H2" s="6">
        <v>2019</v>
      </c>
      <c r="I2" s="6">
        <v>2020</v>
      </c>
      <c r="L2" s="1" t="s">
        <v>29</v>
      </c>
      <c r="M2" s="1"/>
      <c r="N2" s="1"/>
      <c r="O2" s="1"/>
    </row>
    <row r="3" spans="2:15" x14ac:dyDescent="0.25">
      <c r="B3" s="8" t="s">
        <v>15</v>
      </c>
      <c r="E3" t="s">
        <v>23</v>
      </c>
      <c r="F3" s="29">
        <v>208</v>
      </c>
      <c r="G3" s="9">
        <f>AVERAGE(N4:O4)</f>
        <v>185</v>
      </c>
      <c r="H3" s="29">
        <v>208</v>
      </c>
      <c r="I3" s="29">
        <v>208</v>
      </c>
      <c r="L3" s="1"/>
      <c r="M3" s="1" t="s">
        <v>3</v>
      </c>
      <c r="N3" s="1" t="s">
        <v>24</v>
      </c>
      <c r="O3" s="1" t="s">
        <v>25</v>
      </c>
    </row>
    <row r="4" spans="2:15" x14ac:dyDescent="0.25">
      <c r="B4" s="8" t="s">
        <v>16</v>
      </c>
      <c r="E4" t="s">
        <v>32</v>
      </c>
      <c r="F4" s="29">
        <v>1323</v>
      </c>
      <c r="G4" s="9">
        <f>AVERAGE(N5:O5)*1000</f>
        <v>1725</v>
      </c>
      <c r="H4" s="29">
        <v>1720</v>
      </c>
      <c r="I4" s="29">
        <v>1705</v>
      </c>
      <c r="L4" s="8" t="s">
        <v>15</v>
      </c>
      <c r="M4" t="s">
        <v>23</v>
      </c>
      <c r="N4">
        <v>180</v>
      </c>
      <c r="O4">
        <v>190</v>
      </c>
    </row>
    <row r="5" spans="2:15" x14ac:dyDescent="0.25">
      <c r="B5" s="8" t="s">
        <v>12</v>
      </c>
      <c r="E5" t="s">
        <v>92</v>
      </c>
      <c r="F5" s="29">
        <v>215</v>
      </c>
      <c r="G5" s="29">
        <v>144</v>
      </c>
      <c r="H5" s="29">
        <v>179</v>
      </c>
      <c r="I5" s="29">
        <v>179</v>
      </c>
      <c r="L5" s="8" t="s">
        <v>16</v>
      </c>
      <c r="M5" t="s">
        <v>26</v>
      </c>
      <c r="N5">
        <v>1.66</v>
      </c>
      <c r="O5">
        <v>1.79</v>
      </c>
    </row>
    <row r="6" spans="2:15" x14ac:dyDescent="0.25">
      <c r="B6" s="8" t="s">
        <v>17</v>
      </c>
      <c r="E6" t="s">
        <v>26</v>
      </c>
      <c r="F6" s="29">
        <v>231</v>
      </c>
      <c r="G6" s="29">
        <f>AVERAGE(N6:O6)</f>
        <v>241</v>
      </c>
      <c r="H6" s="29">
        <v>242</v>
      </c>
      <c r="I6" s="29">
        <v>242</v>
      </c>
      <c r="L6" s="8" t="s">
        <v>17</v>
      </c>
      <c r="M6" t="s">
        <v>26</v>
      </c>
      <c r="N6">
        <v>239</v>
      </c>
      <c r="O6">
        <v>243</v>
      </c>
    </row>
    <row r="7" spans="2:15" x14ac:dyDescent="0.25">
      <c r="B7" s="8" t="s">
        <v>27</v>
      </c>
      <c r="E7" t="s">
        <v>26</v>
      </c>
      <c r="F7" s="29">
        <v>40</v>
      </c>
      <c r="G7" s="9">
        <f>AVERAGE(N7:O7)</f>
        <v>42</v>
      </c>
      <c r="H7" s="29">
        <v>77</v>
      </c>
      <c r="I7" s="29">
        <v>77</v>
      </c>
      <c r="L7" s="8" t="s">
        <v>27</v>
      </c>
      <c r="M7" t="s">
        <v>26</v>
      </c>
      <c r="N7">
        <v>41</v>
      </c>
      <c r="O7">
        <v>43</v>
      </c>
    </row>
    <row r="8" spans="2:15" x14ac:dyDescent="0.25">
      <c r="B8" s="8" t="s">
        <v>28</v>
      </c>
      <c r="E8" t="s">
        <v>26</v>
      </c>
      <c r="F8" s="29">
        <v>29</v>
      </c>
      <c r="G8" s="10">
        <f>AVERAGE(N8:O8)</f>
        <v>29.5</v>
      </c>
      <c r="H8" s="29">
        <v>33</v>
      </c>
      <c r="I8" s="29">
        <v>33</v>
      </c>
      <c r="L8" s="8" t="s">
        <v>28</v>
      </c>
      <c r="M8" t="s">
        <v>26</v>
      </c>
      <c r="N8">
        <v>29</v>
      </c>
      <c r="O8">
        <v>30</v>
      </c>
    </row>
    <row r="9" spans="2:15" x14ac:dyDescent="0.25">
      <c r="B9" s="8" t="s">
        <v>13</v>
      </c>
      <c r="E9" t="s">
        <v>32</v>
      </c>
      <c r="F9" s="29">
        <v>85</v>
      </c>
      <c r="G9" s="29">
        <v>80</v>
      </c>
      <c r="H9" s="29">
        <v>80</v>
      </c>
      <c r="I9" s="29">
        <v>80</v>
      </c>
      <c r="L9" s="8"/>
    </row>
    <row r="10" spans="2:15" x14ac:dyDescent="0.25">
      <c r="B10" s="8" t="s">
        <v>14</v>
      </c>
      <c r="E10" t="s">
        <v>93</v>
      </c>
      <c r="F10" s="29">
        <v>8.1</v>
      </c>
      <c r="G10" s="29">
        <v>7.5</v>
      </c>
      <c r="H10" s="29">
        <v>10.8</v>
      </c>
      <c r="I10" s="29">
        <v>10.8</v>
      </c>
    </row>
    <row r="12" spans="2:15" x14ac:dyDescent="0.25">
      <c r="B12" s="1" t="s">
        <v>19</v>
      </c>
      <c r="C12" s="1"/>
      <c r="D12" s="1"/>
      <c r="E12" s="1" t="s">
        <v>3</v>
      </c>
      <c r="F12" s="5">
        <v>2017</v>
      </c>
      <c r="G12" s="6">
        <v>2018</v>
      </c>
      <c r="H12" s="6">
        <v>2019</v>
      </c>
      <c r="I12" s="6">
        <v>2020</v>
      </c>
    </row>
    <row r="13" spans="2:15" x14ac:dyDescent="0.25">
      <c r="B13" s="8" t="s">
        <v>20</v>
      </c>
      <c r="E13" s="2" t="s">
        <v>21</v>
      </c>
      <c r="F13" s="29">
        <v>0.75</v>
      </c>
      <c r="G13" s="29">
        <v>0.75</v>
      </c>
      <c r="H13" s="29">
        <v>0.74</v>
      </c>
      <c r="I13" s="29">
        <v>0.74</v>
      </c>
    </row>
    <row r="14" spans="2:15" x14ac:dyDescent="0.25">
      <c r="B14" s="8" t="s">
        <v>16</v>
      </c>
      <c r="E14" s="2" t="s">
        <v>22</v>
      </c>
      <c r="F14" s="29">
        <v>2.56</v>
      </c>
      <c r="G14" s="29">
        <v>2.5</v>
      </c>
      <c r="H14" s="29">
        <v>5.7</v>
      </c>
      <c r="I14" s="29">
        <v>3.18</v>
      </c>
    </row>
    <row r="15" spans="2:15" x14ac:dyDescent="0.25">
      <c r="B15" s="8" t="s">
        <v>12</v>
      </c>
      <c r="E15" s="2" t="s">
        <v>89</v>
      </c>
      <c r="F15" s="29">
        <v>1250</v>
      </c>
      <c r="G15" s="29">
        <v>1250</v>
      </c>
      <c r="H15" s="29">
        <v>1250</v>
      </c>
      <c r="I15" s="29">
        <v>1100</v>
      </c>
    </row>
    <row r="16" spans="2:15" x14ac:dyDescent="0.25">
      <c r="B16" s="8" t="s">
        <v>17</v>
      </c>
      <c r="E16" s="2" t="s">
        <v>90</v>
      </c>
      <c r="F16" s="29">
        <v>58.5</v>
      </c>
      <c r="G16" s="29">
        <v>61.3</v>
      </c>
      <c r="H16" s="29">
        <v>62.5</v>
      </c>
      <c r="I16" s="29">
        <v>65</v>
      </c>
    </row>
    <row r="17" spans="2:9" x14ac:dyDescent="0.25">
      <c r="B17" s="8" t="s">
        <v>27</v>
      </c>
      <c r="E17" s="2" t="s">
        <v>90</v>
      </c>
      <c r="F17" s="29">
        <v>179</v>
      </c>
      <c r="G17" s="29">
        <v>137.5</v>
      </c>
      <c r="H17" s="29">
        <v>120</v>
      </c>
      <c r="I17" s="29">
        <v>112.5</v>
      </c>
    </row>
    <row r="18" spans="2:9" x14ac:dyDescent="0.25">
      <c r="B18" s="8" t="s">
        <v>28</v>
      </c>
      <c r="E18" s="2" t="s">
        <v>90</v>
      </c>
      <c r="F18" s="29">
        <v>74.5</v>
      </c>
      <c r="G18" s="29">
        <v>73.8</v>
      </c>
      <c r="H18" s="29">
        <v>72.5</v>
      </c>
      <c r="I18" s="29">
        <v>67</v>
      </c>
    </row>
    <row r="19" spans="2:9" x14ac:dyDescent="0.25">
      <c r="B19" s="8" t="s">
        <v>88</v>
      </c>
      <c r="E19" s="2" t="s">
        <v>91</v>
      </c>
      <c r="F19" s="29">
        <v>48.6</v>
      </c>
      <c r="G19" s="29">
        <v>58</v>
      </c>
      <c r="H19" s="29">
        <v>64.5</v>
      </c>
      <c r="I19" s="29">
        <v>69</v>
      </c>
    </row>
    <row r="21" spans="2:9" x14ac:dyDescent="0.25">
      <c r="B21" s="1" t="s">
        <v>36</v>
      </c>
      <c r="C21" s="1"/>
      <c r="D21" s="1"/>
      <c r="E21" s="1" t="s">
        <v>33</v>
      </c>
      <c r="F21" s="1" t="s">
        <v>35</v>
      </c>
      <c r="G21" s="5" t="s">
        <v>0</v>
      </c>
      <c r="H21" s="3" t="s">
        <v>30</v>
      </c>
      <c r="I21" s="3" t="s">
        <v>31</v>
      </c>
    </row>
    <row r="22" spans="2:9" x14ac:dyDescent="0.25">
      <c r="B22" s="8" t="s">
        <v>15</v>
      </c>
      <c r="E22" t="s">
        <v>34</v>
      </c>
      <c r="F22" s="12">
        <v>0.18</v>
      </c>
      <c r="G22" s="29">
        <v>2</v>
      </c>
      <c r="H22" s="13">
        <v>0.56999999999999995</v>
      </c>
      <c r="I22" s="13">
        <v>7.0000000000000007E-2</v>
      </c>
    </row>
    <row r="23" spans="2:9" x14ac:dyDescent="0.25">
      <c r="B23" s="8" t="s">
        <v>17</v>
      </c>
      <c r="E23" t="s">
        <v>34</v>
      </c>
      <c r="F23" s="12">
        <v>0.38</v>
      </c>
      <c r="G23" s="29">
        <v>4.3</v>
      </c>
      <c r="H23" s="13">
        <v>0.6</v>
      </c>
      <c r="I23" s="13">
        <v>0.27</v>
      </c>
    </row>
    <row r="24" spans="2:9" x14ac:dyDescent="0.25">
      <c r="B24" s="8" t="s">
        <v>18</v>
      </c>
      <c r="E24" t="s">
        <v>34</v>
      </c>
      <c r="F24" s="12">
        <v>0.16</v>
      </c>
      <c r="G24" s="29">
        <v>1.8</v>
      </c>
      <c r="H24" s="13">
        <v>0.44</v>
      </c>
      <c r="I24" s="13">
        <v>0.25</v>
      </c>
    </row>
    <row r="25" spans="2:9" x14ac:dyDescent="0.25">
      <c r="B25" s="8" t="s">
        <v>16</v>
      </c>
      <c r="E25" t="s">
        <v>32</v>
      </c>
      <c r="F25" s="12">
        <v>0.28000000000000003</v>
      </c>
      <c r="G25" s="29">
        <v>3.2</v>
      </c>
      <c r="H25" s="13">
        <v>0.56000000000000005</v>
      </c>
      <c r="I25" s="13">
        <v>0.15</v>
      </c>
    </row>
    <row r="26" spans="2:9" x14ac:dyDescent="0.25">
      <c r="B26" s="8" t="s">
        <v>37</v>
      </c>
      <c r="F26" s="7"/>
    </row>
    <row r="27" spans="2:9" x14ac:dyDescent="0.25">
      <c r="B27" s="8"/>
      <c r="F27" s="7"/>
    </row>
    <row r="28" spans="2:9" x14ac:dyDescent="0.25">
      <c r="B28" s="8"/>
      <c r="F28" s="7"/>
    </row>
    <row r="29" spans="2:9" x14ac:dyDescent="0.25">
      <c r="B29" s="8"/>
      <c r="F29" s="7"/>
    </row>
    <row r="30" spans="2:9" x14ac:dyDescent="0.25">
      <c r="E30">
        <f>21056-11366</f>
        <v>9690</v>
      </c>
      <c r="G30">
        <f>20474-20161</f>
        <v>313</v>
      </c>
    </row>
    <row r="31" spans="2:9" x14ac:dyDescent="0.25">
      <c r="E31">
        <f>E30+95950</f>
        <v>105640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F30B-33AF-442A-BB09-6BCC4265DB4A}">
  <dimension ref="B1:J76"/>
  <sheetViews>
    <sheetView workbookViewId="0">
      <selection activeCell="Q60" sqref="Q60"/>
    </sheetView>
  </sheetViews>
  <sheetFormatPr defaultRowHeight="15" outlineLevelRow="1" x14ac:dyDescent="0.25"/>
  <cols>
    <col min="1" max="1" width="2.7109375" customWidth="1"/>
    <col min="5" max="5" width="9.7109375" bestFit="1" customWidth="1"/>
    <col min="6" max="6" width="7.140625" bestFit="1" customWidth="1"/>
    <col min="7" max="7" width="7.85546875" bestFit="1" customWidth="1"/>
    <col min="8" max="8" width="6.7109375" bestFit="1" customWidth="1"/>
    <col min="9" max="9" width="17.42578125" customWidth="1"/>
    <col min="10" max="10" width="7.7109375" bestFit="1" customWidth="1"/>
  </cols>
  <sheetData>
    <row r="1" spans="2:10" x14ac:dyDescent="0.25">
      <c r="B1" s="36" t="s">
        <v>69</v>
      </c>
      <c r="C1" s="36"/>
      <c r="D1" s="36"/>
      <c r="E1" s="36"/>
      <c r="F1" s="36"/>
      <c r="G1" s="36"/>
      <c r="H1" s="36"/>
      <c r="I1" s="36"/>
      <c r="J1" s="36"/>
    </row>
    <row r="2" spans="2:10" outlineLevel="1" x14ac:dyDescent="0.25">
      <c r="B2" s="34" t="s">
        <v>65</v>
      </c>
      <c r="C2" s="34"/>
      <c r="D2" s="34"/>
      <c r="E2" s="34" t="s">
        <v>15</v>
      </c>
      <c r="F2" s="34" t="s">
        <v>16</v>
      </c>
      <c r="G2" s="34" t="s">
        <v>17</v>
      </c>
      <c r="H2" s="34" t="s">
        <v>18</v>
      </c>
      <c r="I2" s="34" t="s">
        <v>52</v>
      </c>
      <c r="J2" s="34" t="s">
        <v>51</v>
      </c>
    </row>
    <row r="3" spans="2:10" outlineLevel="1" x14ac:dyDescent="0.25">
      <c r="B3" t="s">
        <v>53</v>
      </c>
      <c r="E3" s="29">
        <v>11447</v>
      </c>
      <c r="F3" s="29">
        <v>11453</v>
      </c>
      <c r="G3" s="29">
        <v>14753</v>
      </c>
      <c r="H3" s="29">
        <v>5885</v>
      </c>
      <c r="I3" s="29">
        <v>1098</v>
      </c>
      <c r="J3">
        <f>SUM(E3:I3)</f>
        <v>44636</v>
      </c>
    </row>
    <row r="4" spans="2:10" outlineLevel="1" x14ac:dyDescent="0.25">
      <c r="E4" s="29"/>
      <c r="F4" s="29"/>
      <c r="G4" s="29"/>
      <c r="H4" s="29"/>
      <c r="I4" s="29"/>
    </row>
    <row r="5" spans="2:10" outlineLevel="1" x14ac:dyDescent="0.25">
      <c r="B5" t="s">
        <v>54</v>
      </c>
      <c r="E5" s="29">
        <v>7201</v>
      </c>
      <c r="F5" s="29">
        <v>5205</v>
      </c>
      <c r="G5" s="29">
        <v>8648</v>
      </c>
      <c r="H5" s="29">
        <v>1242</v>
      </c>
      <c r="I5" s="29">
        <v>-444</v>
      </c>
      <c r="J5">
        <f t="shared" ref="J5" si="0">SUM(E5:I5)</f>
        <v>21852</v>
      </c>
    </row>
    <row r="6" spans="2:10" outlineLevel="1" x14ac:dyDescent="0.25">
      <c r="B6" s="26" t="s">
        <v>127</v>
      </c>
      <c r="C6" s="14"/>
      <c r="E6" s="27">
        <f>E5/$J$3</f>
        <v>0.1613271798548257</v>
      </c>
      <c r="F6" s="27">
        <f t="shared" ref="F6:I6" si="1">F5/$J$3</f>
        <v>0.11660991128237297</v>
      </c>
      <c r="G6" s="27">
        <f t="shared" si="1"/>
        <v>0.19374495922573706</v>
      </c>
      <c r="H6" s="27">
        <f t="shared" si="1"/>
        <v>2.7825073931355856E-2</v>
      </c>
      <c r="I6" s="27">
        <f t="shared" si="1"/>
        <v>-9.94712787884219E-3</v>
      </c>
      <c r="J6" s="27">
        <f>SUM(E6:I6)</f>
        <v>0.48955999641544945</v>
      </c>
    </row>
    <row r="7" spans="2:10" outlineLevel="1" x14ac:dyDescent="0.25">
      <c r="B7" s="14" t="s">
        <v>57</v>
      </c>
      <c r="E7" s="29">
        <v>-4738</v>
      </c>
      <c r="F7" s="29">
        <v>-1545</v>
      </c>
      <c r="G7" s="29">
        <v>-1698</v>
      </c>
      <c r="H7" s="29">
        <v>-875</v>
      </c>
      <c r="I7" s="29">
        <v>-302</v>
      </c>
      <c r="J7">
        <f t="shared" ref="J7:J8" si="2">SUM(E7:I7)</f>
        <v>-9158</v>
      </c>
    </row>
    <row r="8" spans="2:10" outlineLevel="1" x14ac:dyDescent="0.25">
      <c r="B8" s="24" t="s">
        <v>58</v>
      </c>
      <c r="C8" s="1"/>
      <c r="D8" s="1"/>
      <c r="E8" s="30">
        <v>-477</v>
      </c>
      <c r="F8" s="30">
        <v>-307</v>
      </c>
      <c r="G8" s="30">
        <v>-18</v>
      </c>
      <c r="H8" s="30">
        <v>-19</v>
      </c>
      <c r="I8" s="30">
        <v>-7</v>
      </c>
      <c r="J8" s="1">
        <f t="shared" si="2"/>
        <v>-828</v>
      </c>
    </row>
    <row r="9" spans="2:10" outlineLevel="1" x14ac:dyDescent="0.25">
      <c r="B9" s="4" t="s">
        <v>55</v>
      </c>
      <c r="E9" s="31">
        <f>E5+E7+E8</f>
        <v>1986</v>
      </c>
      <c r="F9" s="31">
        <f t="shared" ref="F9" si="3">F5+F7+F8</f>
        <v>3353</v>
      </c>
      <c r="G9" s="31">
        <f t="shared" ref="G9" si="4">G5+G7+G8</f>
        <v>6932</v>
      </c>
      <c r="H9" s="31">
        <f t="shared" ref="H9" si="5">H5+H7+H8</f>
        <v>348</v>
      </c>
      <c r="I9" s="31">
        <f t="shared" ref="I9" si="6">I5+I7+I8</f>
        <v>-753</v>
      </c>
      <c r="J9" s="4">
        <f t="shared" ref="J9" si="7">J5+J7+J8</f>
        <v>11866</v>
      </c>
    </row>
    <row r="10" spans="2:10" outlineLevel="1" x14ac:dyDescent="0.25">
      <c r="B10" s="26" t="s">
        <v>60</v>
      </c>
      <c r="E10" s="28">
        <f t="shared" ref="E10:J10" si="8">E9/$J$35</f>
        <v>0.16030349503591895</v>
      </c>
      <c r="F10" s="28">
        <f t="shared" si="8"/>
        <v>0.27064331261603036</v>
      </c>
      <c r="G10" s="28">
        <f t="shared" si="8"/>
        <v>0.55952861409314714</v>
      </c>
      <c r="H10" s="28">
        <f t="shared" si="8"/>
        <v>2.8089434175478246E-2</v>
      </c>
      <c r="I10" s="28">
        <f t="shared" si="8"/>
        <v>-6.0779723948664134E-2</v>
      </c>
      <c r="J10" s="28">
        <f t="shared" si="8"/>
        <v>0.95778513197191062</v>
      </c>
    </row>
    <row r="11" spans="2:10" outlineLevel="1" x14ac:dyDescent="0.25">
      <c r="B11" s="14" t="s">
        <v>56</v>
      </c>
      <c r="E11" s="32">
        <v>-2787</v>
      </c>
      <c r="F11" s="32"/>
      <c r="G11" s="32"/>
      <c r="H11" s="29"/>
      <c r="I11" s="32">
        <v>-409</v>
      </c>
      <c r="J11" s="25">
        <f>SUM(E11:I11)</f>
        <v>-3196</v>
      </c>
    </row>
    <row r="12" spans="2:10" outlineLevel="1" x14ac:dyDescent="0.25">
      <c r="B12" s="24" t="s">
        <v>59</v>
      </c>
      <c r="C12" s="1"/>
      <c r="D12" s="1"/>
      <c r="E12" s="1"/>
      <c r="F12" s="1"/>
      <c r="G12" s="1"/>
      <c r="H12" s="1"/>
      <c r="I12" s="1"/>
      <c r="J12" s="30">
        <v>-614</v>
      </c>
    </row>
    <row r="13" spans="2:10" outlineLevel="1" x14ac:dyDescent="0.25">
      <c r="B13" s="33" t="s">
        <v>64</v>
      </c>
      <c r="J13" s="4">
        <f>J9+J11+J12</f>
        <v>8056</v>
      </c>
    </row>
    <row r="14" spans="2:10" outlineLevel="1" x14ac:dyDescent="0.25">
      <c r="B14" s="35"/>
      <c r="J14" s="4"/>
    </row>
    <row r="15" spans="2:10" outlineLevel="1" x14ac:dyDescent="0.25">
      <c r="B15" s="34" t="s">
        <v>63</v>
      </c>
      <c r="C15" s="34"/>
      <c r="D15" s="34"/>
      <c r="E15" s="34" t="s">
        <v>15</v>
      </c>
      <c r="F15" s="34" t="s">
        <v>16</v>
      </c>
      <c r="G15" s="34" t="s">
        <v>17</v>
      </c>
      <c r="H15" s="34" t="s">
        <v>18</v>
      </c>
      <c r="I15" s="34" t="s">
        <v>52</v>
      </c>
      <c r="J15" s="34" t="s">
        <v>51</v>
      </c>
    </row>
    <row r="16" spans="2:10" outlineLevel="1" x14ac:dyDescent="0.25">
      <c r="B16" t="s">
        <v>53</v>
      </c>
      <c r="E16" s="29">
        <v>6894</v>
      </c>
      <c r="F16" s="29">
        <v>8249</v>
      </c>
      <c r="G16" s="29">
        <v>10538</v>
      </c>
      <c r="H16" s="29">
        <v>4518</v>
      </c>
      <c r="I16" s="29">
        <v>713</v>
      </c>
      <c r="J16">
        <f>SUM(E16:I16)</f>
        <v>30912</v>
      </c>
    </row>
    <row r="17" spans="2:10" outlineLevel="1" x14ac:dyDescent="0.25">
      <c r="E17" s="29"/>
      <c r="F17" s="29"/>
      <c r="G17" s="29"/>
      <c r="H17" s="29"/>
      <c r="I17" s="29"/>
    </row>
    <row r="18" spans="2:10" outlineLevel="1" x14ac:dyDescent="0.25">
      <c r="B18" t="s">
        <v>54</v>
      </c>
      <c r="E18" s="29">
        <v>3658</v>
      </c>
      <c r="F18" s="29">
        <v>2619</v>
      </c>
      <c r="G18" s="29">
        <v>5599</v>
      </c>
      <c r="H18" s="29">
        <v>635</v>
      </c>
      <c r="I18" s="29">
        <v>-171</v>
      </c>
      <c r="J18">
        <f>SUM(E18:I18)</f>
        <v>12340</v>
      </c>
    </row>
    <row r="19" spans="2:10" outlineLevel="1" x14ac:dyDescent="0.25">
      <c r="B19" s="26" t="s">
        <v>127</v>
      </c>
      <c r="C19" s="14"/>
      <c r="E19" s="27">
        <f>E18/$J$16</f>
        <v>0.11833592132505176</v>
      </c>
      <c r="F19" s="27">
        <f t="shared" ref="F19:I19" si="9">F18/$J$16</f>
        <v>8.4724378881987583E-2</v>
      </c>
      <c r="G19" s="27">
        <f t="shared" si="9"/>
        <v>0.18112707039337475</v>
      </c>
      <c r="H19" s="27">
        <f t="shared" si="9"/>
        <v>2.0542184265010352E-2</v>
      </c>
      <c r="I19" s="27">
        <f t="shared" si="9"/>
        <v>-5.531832298136646E-3</v>
      </c>
      <c r="J19" s="27">
        <f>SUM(E19:I19)</f>
        <v>0.3991977225672878</v>
      </c>
    </row>
    <row r="20" spans="2:10" outlineLevel="1" x14ac:dyDescent="0.25">
      <c r="B20" s="14" t="s">
        <v>57</v>
      </c>
      <c r="E20" s="29">
        <v>-4147</v>
      </c>
      <c r="F20" s="29">
        <v>-1560</v>
      </c>
      <c r="G20" s="29">
        <v>-1817</v>
      </c>
      <c r="H20" s="29">
        <v>-890</v>
      </c>
      <c r="I20" s="29">
        <v>-247</v>
      </c>
      <c r="J20">
        <f t="shared" ref="J20:J21" si="10">SUM(E20:I20)</f>
        <v>-8661</v>
      </c>
    </row>
    <row r="21" spans="2:10" outlineLevel="1" x14ac:dyDescent="0.25">
      <c r="B21" s="24" t="s">
        <v>58</v>
      </c>
      <c r="C21" s="1"/>
      <c r="D21" s="1"/>
      <c r="E21" s="30">
        <v>-48</v>
      </c>
      <c r="F21" s="30">
        <v>-17</v>
      </c>
      <c r="G21" s="30">
        <v>-42</v>
      </c>
      <c r="H21" s="30">
        <v>-94</v>
      </c>
      <c r="I21" s="30">
        <v>-9</v>
      </c>
      <c r="J21" s="1">
        <f t="shared" si="10"/>
        <v>-210</v>
      </c>
    </row>
    <row r="22" spans="2:10" outlineLevel="1" x14ac:dyDescent="0.25">
      <c r="B22" s="4" t="s">
        <v>55</v>
      </c>
      <c r="E22" s="31">
        <f t="shared" ref="E22:J22" si="11">E18+E20+E21</f>
        <v>-537</v>
      </c>
      <c r="F22" s="31">
        <f t="shared" si="11"/>
        <v>1042</v>
      </c>
      <c r="G22" s="31">
        <f t="shared" si="11"/>
        <v>3740</v>
      </c>
      <c r="H22" s="31">
        <f t="shared" si="11"/>
        <v>-349</v>
      </c>
      <c r="I22" s="31">
        <f t="shared" si="11"/>
        <v>-427</v>
      </c>
      <c r="J22" s="4">
        <f t="shared" si="11"/>
        <v>3469</v>
      </c>
    </row>
    <row r="23" spans="2:10" outlineLevel="1" x14ac:dyDescent="0.25">
      <c r="B23" s="26" t="s">
        <v>60</v>
      </c>
      <c r="E23" s="28">
        <f>E22/$J$35</f>
        <v>-4.3344902736298332E-2</v>
      </c>
      <c r="F23" s="28">
        <f>F22/$J$35</f>
        <v>8.4106868996690606E-2</v>
      </c>
      <c r="G23" s="28">
        <f>G22/$J$35</f>
        <v>0.30188070062151912</v>
      </c>
      <c r="H23" s="28">
        <f>H22/$J$35</f>
        <v>-2.8170150940350309E-2</v>
      </c>
      <c r="I23" s="28">
        <f>I22/$J$22</f>
        <v>-0.12309022773133468</v>
      </c>
      <c r="J23" s="28">
        <f>J22/$J$35</f>
        <v>0.28000645734118979</v>
      </c>
    </row>
    <row r="24" spans="2:10" outlineLevel="1" x14ac:dyDescent="0.25">
      <c r="B24" s="14" t="s">
        <v>56</v>
      </c>
      <c r="E24" s="32">
        <v>-7184</v>
      </c>
      <c r="F24" s="32"/>
      <c r="G24" s="32">
        <v>-2388</v>
      </c>
      <c r="H24" s="29"/>
      <c r="I24" s="32">
        <v>-132</v>
      </c>
      <c r="J24" s="25">
        <f>SUM(E24:I24)</f>
        <v>-9704</v>
      </c>
    </row>
    <row r="25" spans="2:10" outlineLevel="1" x14ac:dyDescent="0.25">
      <c r="B25" s="24" t="s">
        <v>59</v>
      </c>
      <c r="C25" s="1"/>
      <c r="D25" s="1"/>
      <c r="E25" s="1"/>
      <c r="F25" s="1"/>
      <c r="G25" s="1"/>
      <c r="H25" s="1"/>
      <c r="I25" s="1"/>
      <c r="J25" s="30">
        <v>-1024</v>
      </c>
    </row>
    <row r="26" spans="2:10" outlineLevel="1" x14ac:dyDescent="0.25">
      <c r="B26" s="33" t="s">
        <v>64</v>
      </c>
      <c r="J26" s="4">
        <f>J22+J24+J25</f>
        <v>-7259</v>
      </c>
    </row>
    <row r="27" spans="2:10" outlineLevel="1" x14ac:dyDescent="0.25"/>
    <row r="28" spans="2:10" outlineLevel="1" x14ac:dyDescent="0.25">
      <c r="B28" s="34" t="s">
        <v>62</v>
      </c>
      <c r="C28" s="34"/>
      <c r="D28" s="34"/>
      <c r="E28" s="34" t="s">
        <v>15</v>
      </c>
      <c r="F28" s="34" t="s">
        <v>16</v>
      </c>
      <c r="G28" s="34" t="s">
        <v>17</v>
      </c>
      <c r="H28" s="34" t="s">
        <v>18</v>
      </c>
      <c r="I28" s="34" t="s">
        <v>52</v>
      </c>
      <c r="J28" s="34" t="s">
        <v>51</v>
      </c>
    </row>
    <row r="29" spans="2:10" outlineLevel="1" x14ac:dyDescent="0.25">
      <c r="B29" t="s">
        <v>53</v>
      </c>
      <c r="E29" s="29">
        <v>6872</v>
      </c>
      <c r="F29" s="29">
        <v>8335</v>
      </c>
      <c r="G29" s="29">
        <v>14624</v>
      </c>
      <c r="H29" s="29">
        <v>7578</v>
      </c>
      <c r="I29" s="29">
        <v>876</v>
      </c>
      <c r="J29">
        <f>SUM(E29:I29)</f>
        <v>38285</v>
      </c>
    </row>
    <row r="30" spans="2:10" outlineLevel="1" x14ac:dyDescent="0.25">
      <c r="E30" s="29"/>
      <c r="F30" s="29"/>
      <c r="G30" s="29"/>
      <c r="H30" s="29"/>
      <c r="I30" s="29"/>
    </row>
    <row r="31" spans="2:10" outlineLevel="1" x14ac:dyDescent="0.25">
      <c r="B31" t="s">
        <v>54</v>
      </c>
      <c r="E31" s="29">
        <v>4063</v>
      </c>
      <c r="F31" s="29">
        <v>3545</v>
      </c>
      <c r="G31" s="29">
        <v>9077</v>
      </c>
      <c r="H31" s="29">
        <v>3784</v>
      </c>
      <c r="I31" s="29">
        <v>-173</v>
      </c>
      <c r="J31">
        <f t="shared" ref="J31:J34" si="12">SUM(E31:I31)</f>
        <v>20296</v>
      </c>
    </row>
    <row r="32" spans="2:10" outlineLevel="1" x14ac:dyDescent="0.25">
      <c r="B32" s="26" t="s">
        <v>127</v>
      </c>
      <c r="C32" s="14"/>
      <c r="E32" s="27">
        <f>E31/$J$29</f>
        <v>0.10612511427452005</v>
      </c>
      <c r="F32" s="27">
        <f t="shared" ref="F32:I32" si="13">F31/$J$29</f>
        <v>9.2595011100953376E-2</v>
      </c>
      <c r="G32" s="27">
        <f t="shared" si="13"/>
        <v>0.23709024422097427</v>
      </c>
      <c r="H32" s="27">
        <f t="shared" si="13"/>
        <v>9.8837664881807494E-2</v>
      </c>
      <c r="I32" s="27">
        <f t="shared" si="13"/>
        <v>-4.5187410212877109E-3</v>
      </c>
      <c r="J32" s="27"/>
    </row>
    <row r="33" spans="2:10" outlineLevel="1" x14ac:dyDescent="0.25">
      <c r="B33" s="14" t="s">
        <v>57</v>
      </c>
      <c r="E33" s="29">
        <v>-3395</v>
      </c>
      <c r="F33" s="29">
        <v>-1525</v>
      </c>
      <c r="G33" s="29">
        <v>-1828</v>
      </c>
      <c r="H33" s="29">
        <v>-719</v>
      </c>
      <c r="I33" s="29">
        <v>-252</v>
      </c>
      <c r="J33">
        <f t="shared" si="12"/>
        <v>-7719</v>
      </c>
    </row>
    <row r="34" spans="2:10" outlineLevel="1" x14ac:dyDescent="0.25">
      <c r="B34" s="24" t="s">
        <v>58</v>
      </c>
      <c r="C34" s="1"/>
      <c r="D34" s="1"/>
      <c r="E34" s="30">
        <v>-102</v>
      </c>
      <c r="F34" s="30">
        <v>-14</v>
      </c>
      <c r="G34" s="30">
        <v>-52</v>
      </c>
      <c r="H34" s="30">
        <v>-15</v>
      </c>
      <c r="I34" s="30">
        <v>-5</v>
      </c>
      <c r="J34" s="1">
        <f t="shared" si="12"/>
        <v>-188</v>
      </c>
    </row>
    <row r="35" spans="2:10" outlineLevel="1" x14ac:dyDescent="0.25">
      <c r="B35" s="4" t="s">
        <v>55</v>
      </c>
      <c r="E35" s="31">
        <f t="shared" ref="E35:J35" si="14">E31+E33+E34</f>
        <v>566</v>
      </c>
      <c r="F35" s="31">
        <f t="shared" si="14"/>
        <v>2006</v>
      </c>
      <c r="G35" s="31">
        <f t="shared" si="14"/>
        <v>7197</v>
      </c>
      <c r="H35" s="31">
        <f t="shared" si="14"/>
        <v>3050</v>
      </c>
      <c r="I35" s="31">
        <f t="shared" si="14"/>
        <v>-430</v>
      </c>
      <c r="J35" s="4">
        <f t="shared" si="14"/>
        <v>12389</v>
      </c>
    </row>
    <row r="36" spans="2:10" outlineLevel="1" x14ac:dyDescent="0.25">
      <c r="B36" s="26" t="s">
        <v>60</v>
      </c>
      <c r="E36" s="28">
        <f>E35/$J$35</f>
        <v>4.5685688917588181E-2</v>
      </c>
      <c r="F36" s="28">
        <f t="shared" ref="F36:J36" si="15">F35/$J$35</f>
        <v>0.16191783033336024</v>
      </c>
      <c r="G36" s="28">
        <f t="shared" si="15"/>
        <v>0.58091855678424409</v>
      </c>
      <c r="H36" s="28">
        <f t="shared" si="15"/>
        <v>0.24618613285979499</v>
      </c>
      <c r="I36" s="28">
        <f>I35/$J$35</f>
        <v>-3.4708208894987491E-2</v>
      </c>
      <c r="J36" s="28">
        <f t="shared" si="15"/>
        <v>1</v>
      </c>
    </row>
    <row r="37" spans="2:10" outlineLevel="1" x14ac:dyDescent="0.25">
      <c r="B37" s="14" t="s">
        <v>56</v>
      </c>
      <c r="E37" s="32">
        <v>0</v>
      </c>
      <c r="F37" s="32">
        <v>-546</v>
      </c>
      <c r="G37" s="32">
        <v>-203</v>
      </c>
      <c r="H37" s="29">
        <v>164</v>
      </c>
      <c r="I37" s="32">
        <v>-51</v>
      </c>
      <c r="J37" s="25">
        <f>SUM(E37:I37)</f>
        <v>-636</v>
      </c>
    </row>
    <row r="38" spans="2:10" outlineLevel="1" x14ac:dyDescent="0.25">
      <c r="B38" s="24" t="s">
        <v>59</v>
      </c>
      <c r="C38" s="1"/>
      <c r="D38" s="1"/>
      <c r="E38" s="1"/>
      <c r="F38" s="1"/>
      <c r="G38" s="1"/>
      <c r="H38" s="1"/>
      <c r="I38" s="1"/>
      <c r="J38" s="30">
        <v>-1431</v>
      </c>
    </row>
    <row r="39" spans="2:10" outlineLevel="1" x14ac:dyDescent="0.25">
      <c r="B39" s="33" t="s">
        <v>61</v>
      </c>
      <c r="J39" s="4">
        <f>J35+J37+J38</f>
        <v>10322</v>
      </c>
    </row>
    <row r="40" spans="2:10" outlineLevel="1" x14ac:dyDescent="0.25"/>
    <row r="41" spans="2:10" outlineLevel="1" x14ac:dyDescent="0.25">
      <c r="B41" s="34" t="s">
        <v>126</v>
      </c>
      <c r="C41" s="34"/>
      <c r="D41" s="34"/>
      <c r="E41" s="34" t="s">
        <v>15</v>
      </c>
      <c r="F41" s="34" t="s">
        <v>16</v>
      </c>
      <c r="G41" s="34" t="s">
        <v>17</v>
      </c>
      <c r="H41" s="34" t="s">
        <v>18</v>
      </c>
      <c r="I41" s="34" t="s">
        <v>52</v>
      </c>
      <c r="J41" s="34" t="s">
        <v>51</v>
      </c>
    </row>
    <row r="42" spans="2:10" outlineLevel="1" x14ac:dyDescent="0.25">
      <c r="B42" s="26" t="s">
        <v>128</v>
      </c>
      <c r="E42" s="71">
        <v>0.12</v>
      </c>
      <c r="F42" s="71">
        <v>9.2999999999999999E-2</v>
      </c>
      <c r="G42" s="71">
        <v>0.21</v>
      </c>
      <c r="H42" s="71">
        <v>0.06</v>
      </c>
      <c r="I42" s="71">
        <v>-5.0000000000000001E-3</v>
      </c>
      <c r="J42" s="70">
        <f>SUM(E42:I42)</f>
        <v>0.47799999999999998</v>
      </c>
    </row>
    <row r="43" spans="2:10" x14ac:dyDescent="0.25">
      <c r="E43" s="11"/>
      <c r="F43" s="11"/>
      <c r="G43" s="11"/>
      <c r="H43" s="11"/>
      <c r="I43" s="11"/>
    </row>
    <row r="44" spans="2:10" x14ac:dyDescent="0.25">
      <c r="B44" s="34" t="s">
        <v>126</v>
      </c>
      <c r="C44" s="34"/>
      <c r="D44" s="34"/>
      <c r="E44" s="34" t="s">
        <v>15</v>
      </c>
      <c r="F44" s="34" t="s">
        <v>16</v>
      </c>
      <c r="G44" s="34" t="s">
        <v>17</v>
      </c>
      <c r="H44" s="34" t="s">
        <v>18</v>
      </c>
      <c r="I44" s="34" t="s">
        <v>52</v>
      </c>
      <c r="J44" s="34" t="s">
        <v>51</v>
      </c>
    </row>
    <row r="45" spans="2:10" x14ac:dyDescent="0.25">
      <c r="B45" s="26" t="s">
        <v>128</v>
      </c>
      <c r="E45" s="71">
        <v>0.12</v>
      </c>
      <c r="F45" s="71">
        <v>9.2999999999999999E-2</v>
      </c>
      <c r="G45" s="71">
        <v>0.21</v>
      </c>
      <c r="H45" s="71">
        <v>0.06</v>
      </c>
      <c r="I45" s="71">
        <v>-5.0000000000000001E-3</v>
      </c>
      <c r="J45" s="70">
        <f>SUM(E45:I45)</f>
        <v>0.47799999999999998</v>
      </c>
    </row>
    <row r="46" spans="2:10" x14ac:dyDescent="0.25">
      <c r="B46" s="36" t="s">
        <v>87</v>
      </c>
      <c r="C46" s="36"/>
      <c r="D46" s="42"/>
      <c r="E46" s="42"/>
      <c r="F46" s="42"/>
      <c r="G46" s="42"/>
      <c r="H46" s="42"/>
      <c r="I46" s="42"/>
      <c r="J46" s="42"/>
    </row>
    <row r="47" spans="2:10" outlineLevel="1" x14ac:dyDescent="0.25"/>
    <row r="48" spans="2:10" outlineLevel="1" x14ac:dyDescent="0.25">
      <c r="B48" s="38" t="s">
        <v>86</v>
      </c>
      <c r="C48" s="38"/>
      <c r="D48" s="38"/>
      <c r="E48" s="38"/>
      <c r="F48" s="38"/>
      <c r="G48" s="38"/>
      <c r="H48" s="38"/>
      <c r="I48" s="38"/>
      <c r="J48" s="38"/>
    </row>
    <row r="49" spans="2:10" outlineLevel="1" x14ac:dyDescent="0.25">
      <c r="E49" s="37" t="s">
        <v>71</v>
      </c>
      <c r="F49" s="37" t="s">
        <v>72</v>
      </c>
      <c r="G49" s="37" t="s">
        <v>75</v>
      </c>
      <c r="H49" s="37" t="s">
        <v>73</v>
      </c>
      <c r="I49" s="37" t="s">
        <v>74</v>
      </c>
      <c r="J49" s="37" t="s">
        <v>51</v>
      </c>
    </row>
    <row r="50" spans="2:10" outlineLevel="1" x14ac:dyDescent="0.25">
      <c r="B50" s="40" t="s">
        <v>76</v>
      </c>
      <c r="E50" s="29">
        <v>8762</v>
      </c>
      <c r="F50" s="29">
        <v>48361</v>
      </c>
      <c r="G50" s="29">
        <v>21069</v>
      </c>
      <c r="H50" s="29">
        <v>14502</v>
      </c>
      <c r="I50" s="29">
        <v>1378</v>
      </c>
      <c r="J50">
        <f t="shared" ref="J50:J57" si="16">SUM(E50:I50)</f>
        <v>94072</v>
      </c>
    </row>
    <row r="51" spans="2:10" outlineLevel="1" x14ac:dyDescent="0.25">
      <c r="B51" s="14" t="s">
        <v>77</v>
      </c>
      <c r="E51" s="29">
        <v>4</v>
      </c>
      <c r="F51" s="29">
        <v>-89</v>
      </c>
      <c r="G51" s="29">
        <v>750</v>
      </c>
      <c r="H51" s="29">
        <v>5337</v>
      </c>
      <c r="I51" s="29">
        <v>344</v>
      </c>
      <c r="J51">
        <f t="shared" si="16"/>
        <v>6346</v>
      </c>
    </row>
    <row r="52" spans="2:10" outlineLevel="1" x14ac:dyDescent="0.25">
      <c r="B52" s="14" t="s">
        <v>78</v>
      </c>
      <c r="E52" s="29">
        <v>-574</v>
      </c>
      <c r="F52" s="29">
        <v>-6780</v>
      </c>
      <c r="G52" s="29">
        <v>-1090</v>
      </c>
      <c r="H52" s="29"/>
      <c r="I52" s="29">
        <v>4</v>
      </c>
      <c r="J52">
        <f t="shared" si="16"/>
        <v>-8440</v>
      </c>
    </row>
    <row r="53" spans="2:10" outlineLevel="1" x14ac:dyDescent="0.25">
      <c r="B53" s="14" t="s">
        <v>79</v>
      </c>
      <c r="E53" s="29">
        <v>-49</v>
      </c>
      <c r="F53" s="29">
        <v>-2892</v>
      </c>
      <c r="G53" s="29">
        <v>-4432</v>
      </c>
      <c r="H53" s="29"/>
      <c r="I53" s="29">
        <v>-4</v>
      </c>
      <c r="J53">
        <f t="shared" si="16"/>
        <v>-7377</v>
      </c>
    </row>
    <row r="54" spans="2:10" outlineLevel="1" x14ac:dyDescent="0.25">
      <c r="B54" s="14" t="s">
        <v>80</v>
      </c>
      <c r="E54" s="29">
        <v>-15</v>
      </c>
      <c r="F54" s="29">
        <v>-64</v>
      </c>
      <c r="G54" s="29">
        <v>-8</v>
      </c>
      <c r="H54" s="29">
        <v>-13</v>
      </c>
      <c r="I54" s="29">
        <v>-10</v>
      </c>
      <c r="J54">
        <f t="shared" si="16"/>
        <v>-110</v>
      </c>
    </row>
    <row r="55" spans="2:10" outlineLevel="1" x14ac:dyDescent="0.25">
      <c r="B55" s="14" t="s">
        <v>81</v>
      </c>
      <c r="E55" s="29">
        <v>-39</v>
      </c>
      <c r="F55" s="29">
        <v>-120</v>
      </c>
      <c r="G55" s="29">
        <v>-5</v>
      </c>
      <c r="H55" s="29">
        <v>-3</v>
      </c>
      <c r="I55" s="29"/>
      <c r="J55">
        <f t="shared" si="16"/>
        <v>-167</v>
      </c>
    </row>
    <row r="56" spans="2:10" outlineLevel="1" x14ac:dyDescent="0.25">
      <c r="B56" s="14" t="s">
        <v>82</v>
      </c>
      <c r="E56" s="29"/>
      <c r="F56" s="29">
        <v>2</v>
      </c>
      <c r="G56" s="29"/>
      <c r="H56" s="29"/>
      <c r="I56" s="29"/>
      <c r="J56">
        <f t="shared" si="16"/>
        <v>2</v>
      </c>
    </row>
    <row r="57" spans="2:10" outlineLevel="1" x14ac:dyDescent="0.25">
      <c r="B57" s="24" t="s">
        <v>83</v>
      </c>
      <c r="C57" s="1"/>
      <c r="D57" s="1"/>
      <c r="E57" s="30">
        <v>916</v>
      </c>
      <c r="F57" s="30">
        <v>9348</v>
      </c>
      <c r="G57" s="30">
        <v>-342</v>
      </c>
      <c r="H57" s="30">
        <v>-10262</v>
      </c>
      <c r="I57" s="30">
        <v>-11</v>
      </c>
      <c r="J57" s="1">
        <f t="shared" si="16"/>
        <v>-351</v>
      </c>
    </row>
    <row r="58" spans="2:10" outlineLevel="1" x14ac:dyDescent="0.25">
      <c r="B58" s="39" t="s">
        <v>84</v>
      </c>
      <c r="E58">
        <f t="shared" ref="E58:J58" si="17">SUM(E50:E57)</f>
        <v>9005</v>
      </c>
      <c r="F58">
        <f t="shared" si="17"/>
        <v>47766</v>
      </c>
      <c r="G58">
        <f t="shared" si="17"/>
        <v>15942</v>
      </c>
      <c r="H58">
        <f t="shared" si="17"/>
        <v>9561</v>
      </c>
      <c r="I58">
        <f t="shared" si="17"/>
        <v>1701</v>
      </c>
      <c r="J58" s="4">
        <f t="shared" si="17"/>
        <v>83975</v>
      </c>
    </row>
    <row r="59" spans="2:10" outlineLevel="1" x14ac:dyDescent="0.25">
      <c r="B59" s="26" t="s">
        <v>85</v>
      </c>
      <c r="E59" s="41">
        <f>E58/$J$72</f>
        <v>0.11186752301328</v>
      </c>
      <c r="F59" s="41">
        <f>F58/$J$72</f>
        <v>0.59338857348721075</v>
      </c>
      <c r="G59" s="41">
        <f>G58/$J$72</f>
        <v>0.19804464762661964</v>
      </c>
      <c r="H59" s="41">
        <f>H58/$J$72</f>
        <v>0.1187746127184864</v>
      </c>
      <c r="I59" s="41">
        <f>I58/$J$72</f>
        <v>2.1131222281575712E-2</v>
      </c>
    </row>
    <row r="60" spans="2:10" outlineLevel="1" x14ac:dyDescent="0.25"/>
    <row r="61" spans="2:10" outlineLevel="1" x14ac:dyDescent="0.25"/>
    <row r="62" spans="2:10" outlineLevel="1" x14ac:dyDescent="0.25">
      <c r="B62" s="38" t="s">
        <v>70</v>
      </c>
      <c r="C62" s="38"/>
      <c r="D62" s="38"/>
      <c r="E62" s="38"/>
      <c r="F62" s="38"/>
      <c r="G62" s="38"/>
      <c r="H62" s="38"/>
      <c r="I62" s="38"/>
      <c r="J62" s="38"/>
    </row>
    <row r="63" spans="2:10" outlineLevel="1" x14ac:dyDescent="0.25">
      <c r="E63" s="37" t="s">
        <v>71</v>
      </c>
      <c r="F63" s="37" t="s">
        <v>72</v>
      </c>
      <c r="G63" s="37" t="s">
        <v>75</v>
      </c>
      <c r="H63" s="37" t="s">
        <v>73</v>
      </c>
      <c r="I63" s="37" t="s">
        <v>74</v>
      </c>
      <c r="J63" s="37" t="s">
        <v>51</v>
      </c>
    </row>
    <row r="64" spans="2:10" outlineLevel="1" x14ac:dyDescent="0.25">
      <c r="B64" s="40" t="s">
        <v>76</v>
      </c>
      <c r="E64" s="29">
        <v>9005</v>
      </c>
      <c r="F64" s="29">
        <v>47766</v>
      </c>
      <c r="G64" s="29">
        <v>15942</v>
      </c>
      <c r="H64" s="29">
        <v>9561</v>
      </c>
      <c r="I64" s="29">
        <v>1701</v>
      </c>
      <c r="J64">
        <f t="shared" ref="J64:J71" si="18">SUM(E64:I64)</f>
        <v>83975</v>
      </c>
    </row>
    <row r="65" spans="2:10" outlineLevel="1" x14ac:dyDescent="0.25">
      <c r="B65" s="14" t="s">
        <v>77</v>
      </c>
      <c r="E65" s="29"/>
      <c r="F65" s="29">
        <v>809</v>
      </c>
      <c r="G65" s="29">
        <v>416</v>
      </c>
      <c r="H65" s="29">
        <v>3773</v>
      </c>
      <c r="I65" s="29">
        <v>314</v>
      </c>
      <c r="J65">
        <f t="shared" si="18"/>
        <v>5312</v>
      </c>
    </row>
    <row r="66" spans="2:10" outlineLevel="1" x14ac:dyDescent="0.25">
      <c r="B66" s="14" t="s">
        <v>78</v>
      </c>
      <c r="E66" s="29">
        <v>-552</v>
      </c>
      <c r="F66" s="29">
        <v>-6419</v>
      </c>
      <c r="G66" s="29">
        <v>-765</v>
      </c>
      <c r="H66" s="29"/>
      <c r="I66" s="29"/>
      <c r="J66">
        <f t="shared" si="18"/>
        <v>-7736</v>
      </c>
    </row>
    <row r="67" spans="2:10" outlineLevel="1" x14ac:dyDescent="0.25">
      <c r="B67" s="14" t="s">
        <v>79</v>
      </c>
      <c r="E67" s="29">
        <v>-8</v>
      </c>
      <c r="F67" s="29">
        <v>-83</v>
      </c>
      <c r="G67" s="29"/>
      <c r="H67" s="29"/>
      <c r="I67" s="29">
        <v>-69</v>
      </c>
      <c r="J67">
        <f t="shared" si="18"/>
        <v>-160</v>
      </c>
    </row>
    <row r="68" spans="2:10" outlineLevel="1" x14ac:dyDescent="0.25">
      <c r="B68" s="14" t="s">
        <v>80</v>
      </c>
      <c r="E68" s="29">
        <v>-27</v>
      </c>
      <c r="F68" s="29">
        <v>-56</v>
      </c>
      <c r="G68" s="29">
        <v>-25</v>
      </c>
      <c r="H68" s="29">
        <v>-1</v>
      </c>
      <c r="I68" s="29">
        <v>-152</v>
      </c>
      <c r="J68">
        <f t="shared" si="18"/>
        <v>-261</v>
      </c>
    </row>
    <row r="69" spans="2:10" outlineLevel="1" x14ac:dyDescent="0.25">
      <c r="B69" s="14" t="s">
        <v>81</v>
      </c>
      <c r="E69" s="29">
        <v>-47</v>
      </c>
      <c r="F69" s="29">
        <v>-105</v>
      </c>
      <c r="G69" s="29"/>
      <c r="H69" s="29">
        <v>-42</v>
      </c>
      <c r="I69" s="29"/>
      <c r="J69">
        <f t="shared" si="18"/>
        <v>-194</v>
      </c>
    </row>
    <row r="70" spans="2:10" outlineLevel="1" x14ac:dyDescent="0.25">
      <c r="B70" s="14" t="s">
        <v>82</v>
      </c>
      <c r="E70" s="29"/>
      <c r="F70" s="29"/>
      <c r="G70" s="29">
        <v>-1</v>
      </c>
      <c r="H70" s="29"/>
      <c r="I70" s="29"/>
      <c r="J70">
        <f t="shared" si="18"/>
        <v>-1</v>
      </c>
    </row>
    <row r="71" spans="2:10" outlineLevel="1" x14ac:dyDescent="0.25">
      <c r="B71" s="24" t="s">
        <v>83</v>
      </c>
      <c r="C71" s="1"/>
      <c r="D71" s="1"/>
      <c r="E71" s="30">
        <v>176</v>
      </c>
      <c r="F71" s="30">
        <v>7515</v>
      </c>
      <c r="G71" s="30">
        <v>-10</v>
      </c>
      <c r="H71" s="30">
        <v>-7755</v>
      </c>
      <c r="I71" s="30">
        <v>-364</v>
      </c>
      <c r="J71" s="1">
        <f t="shared" si="18"/>
        <v>-438</v>
      </c>
    </row>
    <row r="72" spans="2:10" outlineLevel="1" x14ac:dyDescent="0.25">
      <c r="B72" s="39" t="s">
        <v>84</v>
      </c>
      <c r="E72">
        <f t="shared" ref="E72:J72" si="19">SUM(E64:E71)</f>
        <v>8547</v>
      </c>
      <c r="F72">
        <f t="shared" si="19"/>
        <v>49427</v>
      </c>
      <c r="G72">
        <f t="shared" si="19"/>
        <v>15557</v>
      </c>
      <c r="H72">
        <f t="shared" si="19"/>
        <v>5536</v>
      </c>
      <c r="I72">
        <f t="shared" si="19"/>
        <v>1430</v>
      </c>
      <c r="J72" s="4">
        <f t="shared" si="19"/>
        <v>80497</v>
      </c>
    </row>
    <row r="73" spans="2:10" outlineLevel="1" x14ac:dyDescent="0.25">
      <c r="B73" s="26" t="s">
        <v>85</v>
      </c>
      <c r="E73" s="41">
        <f>E72/$J$72</f>
        <v>0.10617786998273228</v>
      </c>
      <c r="F73" s="41">
        <f>F72/$J$72</f>
        <v>0.61402288284035433</v>
      </c>
      <c r="G73" s="41">
        <f>G72/$J$72</f>
        <v>0.1932618606904605</v>
      </c>
      <c r="H73" s="41">
        <f>H72/$J$72</f>
        <v>6.8772749295004779E-2</v>
      </c>
      <c r="I73" s="41">
        <f>I72/$J$72</f>
        <v>1.7764637191448128E-2</v>
      </c>
    </row>
    <row r="74" spans="2:10" outlineLevel="1" x14ac:dyDescent="0.25"/>
    <row r="76" spans="2:10" x14ac:dyDescent="0.25">
      <c r="B76" s="42"/>
      <c r="C76" s="42"/>
      <c r="D76" s="42"/>
      <c r="E76" s="42"/>
      <c r="F76" s="42"/>
      <c r="G76" s="42"/>
      <c r="H76" s="42"/>
      <c r="I76" s="42"/>
      <c r="J76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A14B-1DFB-45C0-9751-40FBFCD57B51}">
  <dimension ref="B2:S58"/>
  <sheetViews>
    <sheetView topLeftCell="A25" workbookViewId="0">
      <selection activeCell="H58" sqref="H58"/>
    </sheetView>
  </sheetViews>
  <sheetFormatPr defaultColWidth="8.85546875" defaultRowHeight="15" outlineLevelRow="1" x14ac:dyDescent="0.25"/>
  <cols>
    <col min="1" max="1" width="2.7109375" style="44" customWidth="1"/>
    <col min="2" max="2" width="10" style="44" customWidth="1"/>
    <col min="3" max="6" width="8.85546875" style="44"/>
    <col min="7" max="7" width="10" style="44" customWidth="1"/>
    <col min="8" max="8" width="8.85546875" style="44"/>
    <col min="9" max="9" width="11" style="44" bestFit="1" customWidth="1"/>
    <col min="10" max="10" width="10.42578125" style="44" bestFit="1" customWidth="1"/>
    <col min="11" max="11" width="10.28515625" style="44" bestFit="1" customWidth="1"/>
    <col min="12" max="14" width="8.85546875" style="44"/>
    <col min="15" max="15" width="11" style="44" bestFit="1" customWidth="1"/>
    <col min="16" max="16" width="8.85546875" style="44"/>
    <col min="17" max="17" width="11" style="44" bestFit="1" customWidth="1"/>
    <col min="18" max="16384" width="8.85546875" style="44"/>
  </cols>
  <sheetData>
    <row r="2" spans="2:19" x14ac:dyDescent="0.25">
      <c r="B2" s="54" t="s">
        <v>94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outlineLevel="1" x14ac:dyDescent="0.25"/>
    <row r="4" spans="2:19" outlineLevel="1" x14ac:dyDescent="0.25">
      <c r="D4" s="45" t="s">
        <v>95</v>
      </c>
      <c r="E4" s="45"/>
      <c r="F4" s="45"/>
      <c r="G4" s="45"/>
    </row>
    <row r="5" spans="2:19" outlineLevel="1" x14ac:dyDescent="0.25">
      <c r="D5" s="44" t="s">
        <v>96</v>
      </c>
      <c r="G5" s="46">
        <v>3.2149999999999998E-2</v>
      </c>
    </row>
    <row r="6" spans="2:19" outlineLevel="1" x14ac:dyDescent="0.25">
      <c r="D6" s="44" t="s">
        <v>97</v>
      </c>
      <c r="G6" s="46">
        <v>5.0000000000000001E-4</v>
      </c>
    </row>
    <row r="7" spans="2:19" outlineLevel="1" x14ac:dyDescent="0.25">
      <c r="D7" s="44" t="s">
        <v>123</v>
      </c>
      <c r="G7" s="46">
        <v>31.103476799999999</v>
      </c>
    </row>
    <row r="8" spans="2:19" outlineLevel="1" x14ac:dyDescent="0.25">
      <c r="D8" s="44" t="s">
        <v>124</v>
      </c>
      <c r="G8" s="46">
        <v>1000</v>
      </c>
    </row>
    <row r="9" spans="2:19" outlineLevel="1" x14ac:dyDescent="0.25">
      <c r="D9" s="44" t="s">
        <v>125</v>
      </c>
      <c r="G9" s="46">
        <v>2204622.6218488002</v>
      </c>
    </row>
    <row r="10" spans="2:19" outlineLevel="1" x14ac:dyDescent="0.25"/>
    <row r="11" spans="2:19" outlineLevel="1" x14ac:dyDescent="0.25">
      <c r="B11" s="47" t="s">
        <v>98</v>
      </c>
      <c r="C11" s="45"/>
      <c r="D11" s="47" t="s">
        <v>99</v>
      </c>
      <c r="E11" s="45"/>
      <c r="F11" s="45"/>
      <c r="G11" s="45" t="s">
        <v>3</v>
      </c>
      <c r="H11" s="48">
        <v>2015</v>
      </c>
      <c r="I11" s="48">
        <f>H11+1</f>
        <v>2016</v>
      </c>
      <c r="J11" s="48">
        <f>I11+1</f>
        <v>2017</v>
      </c>
      <c r="K11" s="49">
        <f t="shared" ref="K11:M11" si="0">J11+1</f>
        <v>2018</v>
      </c>
      <c r="L11" s="49">
        <f t="shared" si="0"/>
        <v>2019</v>
      </c>
      <c r="M11" s="49">
        <f t="shared" si="0"/>
        <v>2020</v>
      </c>
      <c r="N11" s="45"/>
      <c r="O11" s="45"/>
      <c r="P11" s="45"/>
      <c r="Q11" s="45"/>
      <c r="R11" s="45"/>
      <c r="S11" s="45"/>
    </row>
    <row r="12" spans="2:19" outlineLevel="1" x14ac:dyDescent="0.25">
      <c r="D12" s="51" t="s">
        <v>100</v>
      </c>
    </row>
    <row r="13" spans="2:19" outlineLevel="1" x14ac:dyDescent="0.25">
      <c r="D13" s="50" t="s">
        <v>16</v>
      </c>
      <c r="G13" s="52" t="s">
        <v>22</v>
      </c>
      <c r="H13" s="29"/>
      <c r="I13" s="53">
        <v>2.14</v>
      </c>
      <c r="J13" s="53">
        <v>2.56</v>
      </c>
      <c r="K13" s="53">
        <v>2.5</v>
      </c>
      <c r="L13" s="53">
        <v>2.7</v>
      </c>
      <c r="M13" s="53">
        <v>3.18</v>
      </c>
    </row>
    <row r="14" spans="2:19" outlineLevel="1" x14ac:dyDescent="0.25">
      <c r="D14" s="50" t="s">
        <v>12</v>
      </c>
      <c r="G14" s="52" t="s">
        <v>89</v>
      </c>
      <c r="H14" s="29"/>
      <c r="I14" s="29"/>
      <c r="J14" s="53">
        <v>1250</v>
      </c>
      <c r="K14" s="53">
        <v>1250</v>
      </c>
      <c r="L14" s="53">
        <v>1250</v>
      </c>
      <c r="M14" s="53">
        <v>1100</v>
      </c>
    </row>
    <row r="15" spans="2:19" outlineLevel="1" x14ac:dyDescent="0.25">
      <c r="D15" s="50" t="s">
        <v>17</v>
      </c>
      <c r="G15" s="52" t="s">
        <v>90</v>
      </c>
      <c r="H15" s="29"/>
      <c r="I15" s="29"/>
      <c r="J15" s="53">
        <v>58.5</v>
      </c>
      <c r="K15" s="53">
        <v>61.3</v>
      </c>
      <c r="L15" s="53">
        <v>62.5</v>
      </c>
      <c r="M15" s="53">
        <v>65</v>
      </c>
    </row>
    <row r="16" spans="2:19" outlineLevel="1" x14ac:dyDescent="0.25">
      <c r="D16" s="50" t="s">
        <v>27</v>
      </c>
      <c r="G16" s="52" t="s">
        <v>90</v>
      </c>
      <c r="H16" s="29"/>
      <c r="I16" s="29"/>
      <c r="J16" s="53">
        <v>179</v>
      </c>
      <c r="K16" s="53">
        <v>137.5</v>
      </c>
      <c r="L16" s="53">
        <v>120</v>
      </c>
      <c r="M16" s="53">
        <v>112.5</v>
      </c>
      <c r="Q16" s="69"/>
    </row>
    <row r="17" spans="2:19" outlineLevel="1" x14ac:dyDescent="0.25">
      <c r="D17" s="50" t="s">
        <v>28</v>
      </c>
      <c r="G17" s="52" t="s">
        <v>90</v>
      </c>
      <c r="H17" s="29"/>
      <c r="I17" s="29"/>
      <c r="J17" s="53">
        <v>74.5</v>
      </c>
      <c r="K17" s="53">
        <v>73.8</v>
      </c>
      <c r="L17" s="53">
        <v>72.5</v>
      </c>
      <c r="M17" s="53">
        <v>67</v>
      </c>
    </row>
    <row r="18" spans="2:19" outlineLevel="1" x14ac:dyDescent="0.25">
      <c r="D18" s="50" t="s">
        <v>88</v>
      </c>
      <c r="G18" s="52" t="s">
        <v>91</v>
      </c>
      <c r="H18" s="29"/>
      <c r="I18" s="29"/>
      <c r="J18" s="53">
        <v>48.6</v>
      </c>
      <c r="K18" s="53">
        <v>58</v>
      </c>
      <c r="L18" s="53">
        <v>64.5</v>
      </c>
      <c r="M18" s="53">
        <v>69</v>
      </c>
    </row>
    <row r="19" spans="2:19" outlineLevel="1" x14ac:dyDescent="0.25"/>
    <row r="20" spans="2:19" outlineLevel="1" x14ac:dyDescent="0.25">
      <c r="D20" s="47" t="s">
        <v>101</v>
      </c>
      <c r="E20" s="45"/>
      <c r="F20" s="45"/>
      <c r="G20" s="45"/>
      <c r="H20" s="48">
        <v>2015</v>
      </c>
      <c r="I20" s="48">
        <f>H20+1</f>
        <v>2016</v>
      </c>
      <c r="J20" s="48">
        <f>I20+1</f>
        <v>2017</v>
      </c>
      <c r="K20" s="49">
        <f t="shared" ref="K20:M20" si="1">J20+1</f>
        <v>2018</v>
      </c>
      <c r="L20" s="49">
        <f t="shared" si="1"/>
        <v>2019</v>
      </c>
      <c r="M20" s="49">
        <f t="shared" si="1"/>
        <v>2020</v>
      </c>
      <c r="N20" s="45"/>
      <c r="O20" s="45"/>
      <c r="P20" s="45"/>
      <c r="Q20" s="45"/>
      <c r="R20" s="45"/>
      <c r="S20" s="45"/>
    </row>
    <row r="21" spans="2:19" outlineLevel="1" x14ac:dyDescent="0.25">
      <c r="D21" s="50" t="s">
        <v>15</v>
      </c>
      <c r="G21" s="44" t="s">
        <v>102</v>
      </c>
      <c r="J21" s="44">
        <f>Assumptions!F3</f>
        <v>208</v>
      </c>
      <c r="K21" s="44">
        <f>Assumptions!G3</f>
        <v>185</v>
      </c>
      <c r="L21" s="44">
        <f>Assumptions!H3</f>
        <v>208</v>
      </c>
      <c r="M21" s="44">
        <f>Assumptions!I3</f>
        <v>208</v>
      </c>
    </row>
    <row r="22" spans="2:19" outlineLevel="1" x14ac:dyDescent="0.25">
      <c r="D22" s="50" t="s">
        <v>16</v>
      </c>
      <c r="G22" s="44" t="s">
        <v>32</v>
      </c>
      <c r="J22" s="44">
        <f>Assumptions!F4/1000</f>
        <v>1.323</v>
      </c>
      <c r="K22" s="44">
        <f>Assumptions!G4</f>
        <v>1725</v>
      </c>
      <c r="L22" s="44">
        <f>Assumptions!H4</f>
        <v>1720</v>
      </c>
      <c r="M22" s="44">
        <f>Assumptions!I4</f>
        <v>1705</v>
      </c>
    </row>
    <row r="23" spans="2:19" outlineLevel="1" x14ac:dyDescent="0.25">
      <c r="D23" s="50" t="s">
        <v>12</v>
      </c>
      <c r="G23" s="44" t="s">
        <v>104</v>
      </c>
      <c r="J23" s="44">
        <f>Assumptions!F5</f>
        <v>215</v>
      </c>
      <c r="K23" s="44">
        <f>Assumptions!G5</f>
        <v>144</v>
      </c>
      <c r="L23" s="44">
        <f>Assumptions!H5</f>
        <v>179</v>
      </c>
      <c r="M23" s="44">
        <f>Assumptions!I5</f>
        <v>179</v>
      </c>
    </row>
    <row r="24" spans="2:19" outlineLevel="1" x14ac:dyDescent="0.25">
      <c r="D24" s="50" t="s">
        <v>17</v>
      </c>
      <c r="G24" s="44" t="s">
        <v>105</v>
      </c>
      <c r="J24" s="44">
        <f>Assumptions!F6</f>
        <v>231</v>
      </c>
      <c r="K24" s="44">
        <f>Assumptions!G6</f>
        <v>241</v>
      </c>
      <c r="L24" s="44">
        <f>Assumptions!H6</f>
        <v>242</v>
      </c>
      <c r="M24" s="44">
        <f>Assumptions!I6</f>
        <v>242</v>
      </c>
    </row>
    <row r="25" spans="2:19" outlineLevel="1" x14ac:dyDescent="0.25">
      <c r="D25" s="50" t="s">
        <v>27</v>
      </c>
      <c r="G25" s="44" t="s">
        <v>105</v>
      </c>
      <c r="J25" s="44">
        <f>Assumptions!F7</f>
        <v>40</v>
      </c>
      <c r="K25" s="44">
        <f>Assumptions!G7</f>
        <v>42</v>
      </c>
      <c r="L25" s="44">
        <f>Assumptions!H7</f>
        <v>77</v>
      </c>
      <c r="M25" s="44">
        <f>Assumptions!I7</f>
        <v>77</v>
      </c>
    </row>
    <row r="26" spans="2:19" outlineLevel="1" x14ac:dyDescent="0.25">
      <c r="D26" s="50" t="s">
        <v>28</v>
      </c>
      <c r="G26" s="44" t="s">
        <v>105</v>
      </c>
      <c r="J26" s="44">
        <f>Assumptions!F8</f>
        <v>29</v>
      </c>
      <c r="K26" s="44">
        <f>Assumptions!G8</f>
        <v>29.5</v>
      </c>
      <c r="L26" s="44">
        <f>Assumptions!H8</f>
        <v>33</v>
      </c>
      <c r="M26" s="44">
        <f>Assumptions!I8</f>
        <v>33</v>
      </c>
    </row>
    <row r="27" spans="2:19" outlineLevel="1" x14ac:dyDescent="0.25">
      <c r="D27" s="50" t="s">
        <v>13</v>
      </c>
      <c r="G27" s="44" t="s">
        <v>103</v>
      </c>
      <c r="J27" s="44">
        <f>Assumptions!F9</f>
        <v>85</v>
      </c>
      <c r="K27" s="44">
        <f>Assumptions!G9</f>
        <v>80</v>
      </c>
      <c r="L27" s="44">
        <f>Assumptions!H9</f>
        <v>80</v>
      </c>
      <c r="M27" s="44">
        <f>Assumptions!I9</f>
        <v>80</v>
      </c>
    </row>
    <row r="28" spans="2:19" outlineLevel="1" x14ac:dyDescent="0.25">
      <c r="D28" s="50" t="s">
        <v>14</v>
      </c>
      <c r="G28" s="44" t="s">
        <v>106</v>
      </c>
      <c r="J28" s="44">
        <f>Assumptions!F10</f>
        <v>8.1</v>
      </c>
      <c r="K28" s="44">
        <f>Assumptions!G10</f>
        <v>7.5</v>
      </c>
      <c r="L28" s="44">
        <f>Assumptions!H10</f>
        <v>10.8</v>
      </c>
      <c r="M28" s="44">
        <f>Assumptions!I10</f>
        <v>10.8</v>
      </c>
    </row>
    <row r="29" spans="2:19" outlineLevel="1" x14ac:dyDescent="0.25"/>
    <row r="31" spans="2:19" x14ac:dyDescent="0.25">
      <c r="B31" s="54" t="s">
        <v>107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3" spans="2:19" x14ac:dyDescent="0.25">
      <c r="B33" s="47" t="s">
        <v>111</v>
      </c>
      <c r="C33" s="45"/>
      <c r="D33" s="47" t="s">
        <v>110</v>
      </c>
      <c r="E33" s="45"/>
      <c r="F33" s="45"/>
      <c r="G33" s="45"/>
      <c r="H33" s="63">
        <v>2015</v>
      </c>
      <c r="I33" s="63">
        <f>H33+1</f>
        <v>2016</v>
      </c>
      <c r="J33" s="63">
        <f>I33+1</f>
        <v>2017</v>
      </c>
      <c r="K33" s="64">
        <f t="shared" ref="K33:M33" si="2">J33+1</f>
        <v>2018</v>
      </c>
      <c r="L33" s="64">
        <f t="shared" si="2"/>
        <v>2019</v>
      </c>
      <c r="M33" s="64">
        <f t="shared" si="2"/>
        <v>2020</v>
      </c>
      <c r="N33" s="47"/>
      <c r="O33" s="45"/>
      <c r="P33" s="45"/>
      <c r="Q33" s="45"/>
      <c r="R33" s="45"/>
      <c r="S33" s="45"/>
    </row>
    <row r="34" spans="2:19" x14ac:dyDescent="0.25">
      <c r="B34" s="51"/>
      <c r="D34" s="44" t="s">
        <v>108</v>
      </c>
    </row>
    <row r="35" spans="2:19" x14ac:dyDescent="0.25">
      <c r="D35" s="55" t="s">
        <v>15</v>
      </c>
      <c r="H35" s="65">
        <f>'Simple Segmented Financials'!E3</f>
        <v>11447</v>
      </c>
      <c r="I35" s="65">
        <f>'Simple Segmented Financials'!E16</f>
        <v>6894</v>
      </c>
      <c r="J35" s="65">
        <f>'Simple Segmented Financials'!E29</f>
        <v>6872</v>
      </c>
      <c r="K35" s="56">
        <f>K21*K18</f>
        <v>10730</v>
      </c>
      <c r="L35" s="56">
        <f t="shared" ref="L35:M35" si="3">L21*L18</f>
        <v>13416</v>
      </c>
      <c r="M35" s="56">
        <f t="shared" si="3"/>
        <v>14352</v>
      </c>
    </row>
    <row r="36" spans="2:19" x14ac:dyDescent="0.25">
      <c r="D36" s="55" t="s">
        <v>16</v>
      </c>
      <c r="H36" s="65">
        <f>'Simple Segmented Financials'!F3</f>
        <v>11453</v>
      </c>
      <c r="I36" s="65">
        <f>'Simple Segmented Financials'!F16</f>
        <v>8249</v>
      </c>
      <c r="J36" s="65">
        <f>'Simple Segmented Financials'!F29</f>
        <v>8335</v>
      </c>
      <c r="K36" s="56">
        <f>((K22*$G$9)*K13)/1000000</f>
        <v>9507.4350567229503</v>
      </c>
      <c r="L36" s="56">
        <f>((L22*$G$9)*L13)/1000000</f>
        <v>10238.267455865829</v>
      </c>
      <c r="M36" s="56">
        <f>((M22*$G$9)*M13)/1000000</f>
        <v>11953.24339340201</v>
      </c>
    </row>
    <row r="37" spans="2:19" x14ac:dyDescent="0.25">
      <c r="D37" s="55" t="s">
        <v>109</v>
      </c>
      <c r="H37" s="65">
        <f>'Simple Segmented Financials'!G3</f>
        <v>14753</v>
      </c>
      <c r="I37" s="65">
        <f>'Simple Segmented Financials'!G16</f>
        <v>10538</v>
      </c>
      <c r="J37" s="65">
        <f>'Simple Segmented Financials'!G29</f>
        <v>14624</v>
      </c>
      <c r="K37" s="56">
        <f>K24*K15</f>
        <v>14773.3</v>
      </c>
      <c r="L37" s="56">
        <f>L24*L15</f>
        <v>15125</v>
      </c>
      <c r="M37" s="56">
        <f>M24*M15</f>
        <v>15730</v>
      </c>
    </row>
    <row r="38" spans="2:19" x14ac:dyDescent="0.25">
      <c r="D38" s="55" t="s">
        <v>18</v>
      </c>
      <c r="H38" s="65">
        <f>'Simple Segmented Financials'!H3</f>
        <v>5885</v>
      </c>
      <c r="I38" s="65">
        <f>'Simple Segmented Financials'!H16</f>
        <v>4518</v>
      </c>
      <c r="J38" s="65">
        <f>'Simple Segmented Financials'!H29</f>
        <v>7578</v>
      </c>
      <c r="K38" s="56">
        <f>(K16*K25)+(K17*K26)</f>
        <v>7952.1</v>
      </c>
      <c r="L38" s="56">
        <f>(L16*L25)+(L17*L26)</f>
        <v>11632.5</v>
      </c>
      <c r="M38" s="56">
        <f>(M16*M25)+(M17*M26)</f>
        <v>10873.5</v>
      </c>
    </row>
    <row r="39" spans="2:19" x14ac:dyDescent="0.25">
      <c r="D39" s="58" t="s">
        <v>112</v>
      </c>
      <c r="E39" s="45"/>
      <c r="F39" s="45"/>
      <c r="G39" s="45"/>
      <c r="H39" s="66">
        <f>'Simple Segmented Financials'!I3</f>
        <v>1098</v>
      </c>
      <c r="I39" s="66">
        <f>'Simple Segmented Financials'!I16</f>
        <v>713</v>
      </c>
      <c r="J39" s="66">
        <f>'Simple Segmented Financials'!I29</f>
        <v>876</v>
      </c>
      <c r="K39" s="59"/>
      <c r="L39" s="59"/>
      <c r="M39" s="59"/>
      <c r="N39" s="45"/>
      <c r="O39" s="45"/>
      <c r="P39" s="45"/>
      <c r="Q39" s="45"/>
      <c r="R39" s="45"/>
      <c r="S39" s="45"/>
    </row>
    <row r="40" spans="2:19" x14ac:dyDescent="0.25">
      <c r="D40" s="51" t="s">
        <v>113</v>
      </c>
      <c r="H40" s="57">
        <f>SUM(H35:H39)</f>
        <v>44636</v>
      </c>
      <c r="I40" s="57">
        <f>SUM(I35:I39)</f>
        <v>30912</v>
      </c>
      <c r="J40" s="57">
        <f>SUM(J35:J39)</f>
        <v>38285</v>
      </c>
      <c r="K40" s="57">
        <v>44021</v>
      </c>
      <c r="L40" s="57">
        <v>48214</v>
      </c>
      <c r="M40" s="57">
        <f>47247</f>
        <v>47247</v>
      </c>
      <c r="N40" s="51"/>
      <c r="O40" s="51"/>
      <c r="P40" s="51"/>
      <c r="Q40" s="51"/>
      <c r="R40" s="51"/>
      <c r="S40" s="51"/>
    </row>
    <row r="41" spans="2:19" x14ac:dyDescent="0.25">
      <c r="D41" s="44" t="s">
        <v>66</v>
      </c>
      <c r="H41" s="46">
        <v>496</v>
      </c>
      <c r="I41" s="46">
        <v>444</v>
      </c>
      <c r="J41" s="46">
        <v>736</v>
      </c>
      <c r="K41" s="46">
        <v>300</v>
      </c>
      <c r="L41" s="46">
        <v>300</v>
      </c>
      <c r="M41" s="46">
        <v>300</v>
      </c>
    </row>
    <row r="42" spans="2:19" x14ac:dyDescent="0.25">
      <c r="D42" s="55" t="s">
        <v>114</v>
      </c>
      <c r="H42" s="67">
        <v>-37010</v>
      </c>
      <c r="I42" s="67">
        <v>-35487</v>
      </c>
      <c r="J42" s="67">
        <v>-27540</v>
      </c>
      <c r="K42" s="60"/>
      <c r="L42" s="60"/>
      <c r="M42" s="60"/>
    </row>
    <row r="43" spans="2:19" x14ac:dyDescent="0.25">
      <c r="D43" s="58" t="s">
        <v>115</v>
      </c>
      <c r="E43" s="45"/>
      <c r="F43" s="45"/>
      <c r="G43" s="45"/>
      <c r="H43" s="68">
        <v>548</v>
      </c>
      <c r="I43" s="68">
        <v>-2104</v>
      </c>
      <c r="J43" s="68">
        <v>548</v>
      </c>
      <c r="K43" s="61"/>
      <c r="L43" s="61"/>
      <c r="M43" s="61"/>
      <c r="N43" s="61"/>
      <c r="O43" s="61"/>
      <c r="P43" s="61"/>
      <c r="Q43" s="61"/>
      <c r="R43" s="61"/>
      <c r="S43" s="61"/>
    </row>
    <row r="44" spans="2:19" x14ac:dyDescent="0.25">
      <c r="D44" s="51" t="s">
        <v>116</v>
      </c>
      <c r="H44" s="62">
        <f>SUM(H40:H43)</f>
        <v>8670</v>
      </c>
      <c r="I44" s="62">
        <f t="shared" ref="I44:J44" si="4">SUM(I40:I43)</f>
        <v>-6235</v>
      </c>
      <c r="J44" s="62">
        <f t="shared" si="4"/>
        <v>12029</v>
      </c>
      <c r="K44" s="62">
        <f t="shared" ref="K44" si="5">SUM(K40:K43)</f>
        <v>44321</v>
      </c>
      <c r="L44" s="62">
        <f t="shared" ref="L44" si="6">SUM(L40:L43)</f>
        <v>48514</v>
      </c>
      <c r="M44" s="62">
        <f t="shared" ref="M44" si="7">SUM(M40:M43)</f>
        <v>47547</v>
      </c>
      <c r="N44" s="62"/>
      <c r="O44" s="62"/>
      <c r="P44" s="62"/>
      <c r="Q44" s="62"/>
      <c r="R44" s="62"/>
      <c r="S44" s="62"/>
    </row>
    <row r="45" spans="2:19" x14ac:dyDescent="0.25">
      <c r="D45" s="5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spans="2:19" x14ac:dyDescent="0.25">
      <c r="D46" s="44" t="s">
        <v>54</v>
      </c>
      <c r="H46" s="56"/>
      <c r="P46" s="56"/>
    </row>
    <row r="47" spans="2:19" x14ac:dyDescent="0.25">
      <c r="D47" s="55" t="s">
        <v>15</v>
      </c>
      <c r="H47" s="67">
        <f>'Simple Segmented Financials'!E5</f>
        <v>7201</v>
      </c>
      <c r="I47" s="67">
        <f>'Simple Segmented Financials'!E18</f>
        <v>3658</v>
      </c>
      <c r="J47" s="67">
        <f>'Simple Segmented Financials'!E31</f>
        <v>4063</v>
      </c>
      <c r="K47" s="72">
        <f>$K40*'Simple Segmented Financials'!$E$42</f>
        <v>5282.5199999999995</v>
      </c>
      <c r="L47" s="72">
        <f>L$40*'Simple Segmented Financials'!$E$42</f>
        <v>5785.6799999999994</v>
      </c>
      <c r="M47" s="72">
        <f>M$40*'Simple Segmented Financials'!$E$42</f>
        <v>5669.6399999999994</v>
      </c>
    </row>
    <row r="48" spans="2:19" x14ac:dyDescent="0.25">
      <c r="D48" s="55" t="s">
        <v>16</v>
      </c>
      <c r="H48" s="67">
        <f>'Simple Segmented Financials'!F5</f>
        <v>5205</v>
      </c>
      <c r="I48" s="67">
        <f>'Simple Segmented Financials'!F18</f>
        <v>2619</v>
      </c>
      <c r="J48" s="67">
        <f>'Simple Segmented Financials'!F31</f>
        <v>3545</v>
      </c>
      <c r="K48" s="72">
        <f>'Simple Financials'!K40*'Simple Segmented Financials'!$F$42</f>
        <v>4093.953</v>
      </c>
      <c r="L48" s="72">
        <f>'Simple Financials'!L40*'Simple Segmented Financials'!$F$42</f>
        <v>4483.902</v>
      </c>
      <c r="M48" s="72">
        <f>'Simple Financials'!M40*'Simple Segmented Financials'!$F$42</f>
        <v>4393.9709999999995</v>
      </c>
    </row>
    <row r="49" spans="4:19" x14ac:dyDescent="0.25">
      <c r="D49" s="55" t="s">
        <v>109</v>
      </c>
      <c r="H49" s="67">
        <f>'Simple Segmented Financials'!G5</f>
        <v>8648</v>
      </c>
      <c r="I49" s="67">
        <f>'Simple Segmented Financials'!G18</f>
        <v>5599</v>
      </c>
      <c r="J49" s="67">
        <f>'Simple Segmented Financials'!G31</f>
        <v>9077</v>
      </c>
      <c r="K49" s="72">
        <f>K40*'Simple Segmented Financials'!$G$42</f>
        <v>9244.41</v>
      </c>
      <c r="L49" s="72">
        <f>L40*'Simple Segmented Financials'!$G$42</f>
        <v>10124.94</v>
      </c>
      <c r="M49" s="72">
        <f>M40*'Simple Segmented Financials'!$G$42</f>
        <v>9921.869999999999</v>
      </c>
    </row>
    <row r="50" spans="4:19" x14ac:dyDescent="0.25">
      <c r="D50" s="55" t="s">
        <v>18</v>
      </c>
      <c r="H50" s="67">
        <f>'Simple Segmented Financials'!H5</f>
        <v>1242</v>
      </c>
      <c r="I50" s="67">
        <f>'Simple Segmented Financials'!H18</f>
        <v>635</v>
      </c>
      <c r="J50" s="67">
        <f>'Simple Segmented Financials'!H31</f>
        <v>3784</v>
      </c>
      <c r="K50" s="72">
        <f>'Simple Financials'!K40*'Simple Segmented Financials'!$H$45</f>
        <v>2641.2599999999998</v>
      </c>
      <c r="L50" s="72">
        <f>'Simple Financials'!L40*'Simple Segmented Financials'!$H$45</f>
        <v>2892.8399999999997</v>
      </c>
      <c r="M50" s="72">
        <f>'Simple Financials'!M40*'Simple Segmented Financials'!$H$45</f>
        <v>2834.8199999999997</v>
      </c>
    </row>
    <row r="51" spans="4:19" x14ac:dyDescent="0.25">
      <c r="D51" s="58" t="s">
        <v>112</v>
      </c>
      <c r="E51" s="45"/>
      <c r="F51" s="45"/>
      <c r="G51" s="45"/>
      <c r="H51" s="68">
        <f>'Simple Segmented Financials'!I5</f>
        <v>-444</v>
      </c>
      <c r="I51" s="68">
        <f>'Simple Segmented Financials'!I18</f>
        <v>-171</v>
      </c>
      <c r="J51" s="68">
        <f>'Simple Segmented Financials'!I31</f>
        <v>-173</v>
      </c>
      <c r="K51" s="72">
        <f>'Simple Segmented Financials'!$I$42*'Simple Financials'!K40</f>
        <v>-220.10500000000002</v>
      </c>
      <c r="L51" s="72">
        <f>'Simple Segmented Financials'!$I$42*'Simple Financials'!L40</f>
        <v>-241.07</v>
      </c>
      <c r="M51" s="72">
        <f>'Simple Segmented Financials'!$I$42*'Simple Financials'!M40</f>
        <v>-236.23500000000001</v>
      </c>
      <c r="N51" s="45"/>
      <c r="O51" s="45"/>
      <c r="P51" s="45"/>
      <c r="Q51" s="45"/>
      <c r="R51" s="45"/>
      <c r="S51" s="45"/>
    </row>
    <row r="52" spans="4:19" x14ac:dyDescent="0.25">
      <c r="D52" s="51" t="s">
        <v>117</v>
      </c>
      <c r="E52" s="51"/>
      <c r="H52" s="62">
        <f>SUM(H47:H51)</f>
        <v>21852</v>
      </c>
      <c r="I52" s="62">
        <f>SUM(I47:I51)</f>
        <v>12340</v>
      </c>
      <c r="J52" s="62">
        <f t="shared" ref="J52" si="8">SUM(J47:J51)</f>
        <v>20296</v>
      </c>
      <c r="K52" s="62">
        <f>SUM(K47:K51)</f>
        <v>21042.038</v>
      </c>
      <c r="L52" s="62">
        <f t="shared" ref="L52:M52" si="9">SUM(L47:L51)</f>
        <v>23046.291999999998</v>
      </c>
      <c r="M52" s="62">
        <f t="shared" si="9"/>
        <v>22584.065999999999</v>
      </c>
      <c r="N52" s="62"/>
      <c r="O52" s="62"/>
      <c r="P52" s="62"/>
      <c r="Q52" s="62"/>
      <c r="R52" s="62"/>
      <c r="S52" s="62"/>
    </row>
    <row r="53" spans="4:19" x14ac:dyDescent="0.25">
      <c r="D53" s="55" t="s">
        <v>118</v>
      </c>
      <c r="H53" s="67">
        <f>'Simple Segmented Financials'!J7</f>
        <v>-9158</v>
      </c>
      <c r="I53" s="67">
        <f>'Simple Segmented Financials'!J20</f>
        <v>-8661</v>
      </c>
      <c r="J53" s="67">
        <f>'Simple Segmented Financials'!J33</f>
        <v>-7719</v>
      </c>
      <c r="K53" s="67">
        <v>-8695</v>
      </c>
      <c r="L53" s="67">
        <v>-10178</v>
      </c>
      <c r="M53" s="67">
        <v>-9600</v>
      </c>
    </row>
    <row r="54" spans="4:19" x14ac:dyDescent="0.25">
      <c r="D54" s="55" t="s">
        <v>119</v>
      </c>
      <c r="H54" s="67">
        <f>'Simple Segmented Financials'!J8</f>
        <v>-828</v>
      </c>
      <c r="I54" s="67">
        <f>'Simple Segmented Financials'!J21</f>
        <v>-210</v>
      </c>
      <c r="J54" s="67">
        <f>'Simple Segmented Financials'!J34</f>
        <v>-188</v>
      </c>
      <c r="K54" s="67">
        <v>-150</v>
      </c>
      <c r="L54" s="67">
        <v>-150</v>
      </c>
      <c r="M54" s="67">
        <v>-150</v>
      </c>
    </row>
    <row r="55" spans="4:19" x14ac:dyDescent="0.25">
      <c r="D55" s="51" t="s">
        <v>120</v>
      </c>
      <c r="E55" s="51"/>
      <c r="H55" s="62">
        <f>SUM(H52:H54)</f>
        <v>11866</v>
      </c>
      <c r="I55" s="62">
        <f>SUM(I52:I54)</f>
        <v>3469</v>
      </c>
      <c r="J55" s="62">
        <f>SUM(J52:J54)</f>
        <v>12389</v>
      </c>
      <c r="K55" s="62">
        <f>K52+K53+K54</f>
        <v>12197.038</v>
      </c>
      <c r="L55" s="62">
        <f t="shared" ref="L55:M55" si="10">L52+L53+L54</f>
        <v>12718.291999999998</v>
      </c>
      <c r="M55" s="62">
        <f t="shared" si="10"/>
        <v>12834.065999999999</v>
      </c>
      <c r="N55" s="62"/>
      <c r="O55" s="62"/>
      <c r="P55" s="62"/>
      <c r="Q55" s="62"/>
      <c r="R55" s="62"/>
      <c r="S55" s="62"/>
    </row>
    <row r="56" spans="4:19" x14ac:dyDescent="0.25">
      <c r="D56" s="55" t="s">
        <v>56</v>
      </c>
      <c r="H56" s="67">
        <f>'Simple Segmented Financials'!J11</f>
        <v>-3196</v>
      </c>
      <c r="I56" s="67">
        <f>'Simple Segmented Financials'!J24</f>
        <v>-9704</v>
      </c>
      <c r="J56" s="67">
        <f>'Simple Segmented Financials'!J37</f>
        <v>-636</v>
      </c>
      <c r="K56" s="67">
        <v>0</v>
      </c>
      <c r="L56" s="67">
        <v>0</v>
      </c>
      <c r="M56" s="67">
        <v>0</v>
      </c>
    </row>
    <row r="57" spans="4:19" x14ac:dyDescent="0.25">
      <c r="D57" s="58" t="s">
        <v>121</v>
      </c>
      <c r="E57" s="45"/>
      <c r="F57" s="45"/>
      <c r="G57" s="45"/>
      <c r="H57" s="68">
        <f>'Simple Segmented Financials'!J12</f>
        <v>-614</v>
      </c>
      <c r="I57" s="68">
        <f>'Simple Segmented Financials'!J25</f>
        <v>-1024</v>
      </c>
      <c r="J57" s="68">
        <f>'Simple Segmented Financials'!J38</f>
        <v>-1431</v>
      </c>
      <c r="K57" s="68">
        <v>-1110</v>
      </c>
      <c r="L57" s="68">
        <v>-946</v>
      </c>
      <c r="M57" s="68">
        <v>-762</v>
      </c>
      <c r="N57" s="45"/>
      <c r="O57" s="45"/>
      <c r="P57" s="45"/>
      <c r="Q57" s="45"/>
      <c r="R57" s="45"/>
      <c r="S57" s="45"/>
    </row>
    <row r="58" spans="4:19" x14ac:dyDescent="0.25">
      <c r="D58" s="51" t="s">
        <v>122</v>
      </c>
      <c r="H58" s="62">
        <f>SUM(H55:H57)</f>
        <v>8056</v>
      </c>
      <c r="I58" s="62">
        <f t="shared" ref="I58:J58" si="11">SUM(I55:I57)</f>
        <v>-7259</v>
      </c>
      <c r="J58" s="62">
        <f t="shared" si="11"/>
        <v>10322</v>
      </c>
      <c r="K58" s="62">
        <f>SUM(K55:K57)</f>
        <v>11087.038</v>
      </c>
      <c r="L58" s="62">
        <f t="shared" ref="L58" si="12">SUM(L55:L57)</f>
        <v>11772.291999999998</v>
      </c>
      <c r="M58" s="62">
        <f t="shared" ref="M58" si="13">SUM(M55:M57)</f>
        <v>12072.065999999999</v>
      </c>
      <c r="N58" s="62"/>
      <c r="O58" s="62"/>
      <c r="P58" s="62"/>
      <c r="Q58" s="62"/>
      <c r="R58" s="62"/>
      <c r="S58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3BAC-12BD-4170-AEC4-9A588C1D158E}">
  <dimension ref="B1:W98"/>
  <sheetViews>
    <sheetView showGridLines="0" tabSelected="1" topLeftCell="A54" workbookViewId="0">
      <selection activeCell="T34" sqref="T34"/>
    </sheetView>
  </sheetViews>
  <sheetFormatPr defaultColWidth="8.85546875" defaultRowHeight="14.25" outlineLevelRow="1" x14ac:dyDescent="0.2"/>
  <cols>
    <col min="1" max="1" width="2.7109375" style="73" customWidth="1"/>
    <col min="2" max="2" width="23.7109375" style="73" customWidth="1"/>
    <col min="3" max="3" width="7.85546875" style="73" customWidth="1"/>
    <col min="4" max="4" width="14.28515625" style="73" customWidth="1"/>
    <col min="5" max="7" width="7.85546875" style="73" customWidth="1"/>
    <col min="8" max="8" width="8.85546875" style="73"/>
    <col min="9" max="9" width="9.85546875" style="73" bestFit="1" customWidth="1"/>
    <col min="10" max="16384" width="8.85546875" style="73"/>
  </cols>
  <sheetData>
    <row r="1" spans="2:15" ht="15" x14ac:dyDescent="0.25">
      <c r="B1" s="155" t="s">
        <v>185</v>
      </c>
      <c r="C1" s="82" t="s">
        <v>186</v>
      </c>
      <c r="D1" s="82" t="s">
        <v>187</v>
      </c>
      <c r="E1" s="83"/>
      <c r="F1" s="83"/>
      <c r="G1" s="83"/>
      <c r="H1" s="83"/>
      <c r="I1" s="83"/>
      <c r="J1" s="157" t="s">
        <v>224</v>
      </c>
      <c r="K1" s="156"/>
      <c r="L1" s="156"/>
    </row>
    <row r="2" spans="2:15" x14ac:dyDescent="0.2">
      <c r="B2" s="155"/>
      <c r="C2" s="84" t="s">
        <v>188</v>
      </c>
      <c r="D2" s="85">
        <v>28.66</v>
      </c>
      <c r="E2" s="83"/>
      <c r="F2" s="83"/>
      <c r="G2" s="83"/>
      <c r="H2" s="83"/>
      <c r="I2" s="83"/>
      <c r="J2" s="156"/>
      <c r="K2" s="156"/>
      <c r="L2" s="156"/>
    </row>
    <row r="3" spans="2:15" customFormat="1" ht="15" hidden="1" outlineLevel="1" x14ac:dyDescent="0.25"/>
    <row r="4" spans="2:15" customFormat="1" ht="15" hidden="1" outlineLevel="1" x14ac:dyDescent="0.25">
      <c r="B4" s="86"/>
      <c r="C4" s="87"/>
      <c r="D4" s="86" t="s">
        <v>204</v>
      </c>
      <c r="E4" s="87"/>
      <c r="F4" s="83"/>
      <c r="G4" s="144"/>
      <c r="H4" s="144" t="s">
        <v>205</v>
      </c>
      <c r="I4" s="97"/>
      <c r="J4" s="98"/>
      <c r="K4" s="98"/>
      <c r="L4" s="98"/>
    </row>
    <row r="5" spans="2:15" customFormat="1" ht="15" hidden="1" outlineLevel="1" x14ac:dyDescent="0.25">
      <c r="D5" s="78" t="s">
        <v>206</v>
      </c>
      <c r="F5" s="73"/>
      <c r="G5" s="149"/>
      <c r="H5" s="149" t="s">
        <v>219</v>
      </c>
    </row>
    <row r="6" spans="2:15" customFormat="1" ht="15" hidden="1" outlineLevel="1" x14ac:dyDescent="0.25">
      <c r="D6" s="78" t="s">
        <v>207</v>
      </c>
      <c r="F6" s="73"/>
      <c r="G6" s="150"/>
      <c r="H6" s="150" t="s">
        <v>220</v>
      </c>
    </row>
    <row r="7" spans="2:15" customFormat="1" ht="15" hidden="1" outlineLevel="1" x14ac:dyDescent="0.25">
      <c r="D7" s="78" t="s">
        <v>208</v>
      </c>
      <c r="F7" s="73"/>
      <c r="G7" s="148"/>
      <c r="H7" s="148">
        <v>28.28</v>
      </c>
    </row>
    <row r="8" spans="2:15" customFormat="1" ht="15" hidden="1" outlineLevel="1" x14ac:dyDescent="0.25">
      <c r="D8" s="78" t="s">
        <v>209</v>
      </c>
      <c r="F8" s="73"/>
      <c r="G8" s="148"/>
      <c r="H8" s="148">
        <v>31.77</v>
      </c>
    </row>
    <row r="9" spans="2:15" customFormat="1" ht="15" hidden="1" outlineLevel="1" x14ac:dyDescent="0.25">
      <c r="D9" s="78" t="s">
        <v>210</v>
      </c>
      <c r="F9" s="73"/>
      <c r="G9" s="148"/>
      <c r="H9" s="148" t="s">
        <v>221</v>
      </c>
    </row>
    <row r="10" spans="2:15" customFormat="1" ht="15" hidden="1" outlineLevel="1" x14ac:dyDescent="0.25">
      <c r="D10" s="78" t="s">
        <v>211</v>
      </c>
      <c r="F10" s="73"/>
      <c r="G10" s="149"/>
      <c r="H10" s="149">
        <v>1759.84</v>
      </c>
    </row>
    <row r="11" spans="2:15" customFormat="1" ht="15" hidden="1" outlineLevel="1" x14ac:dyDescent="0.25">
      <c r="D11" s="78" t="s">
        <v>223</v>
      </c>
      <c r="F11" s="73"/>
      <c r="G11" s="149"/>
      <c r="H11" s="149" t="s">
        <v>222</v>
      </c>
      <c r="O11" s="154"/>
    </row>
    <row r="12" spans="2:15" customFormat="1" ht="15" hidden="1" outlineLevel="1" x14ac:dyDescent="0.25">
      <c r="D12" s="142" t="s">
        <v>212</v>
      </c>
      <c r="F12" s="73"/>
      <c r="G12" s="151"/>
      <c r="H12" s="151">
        <f>((H8-H7)+4.52)/H7</f>
        <v>0.28323903818953317</v>
      </c>
    </row>
    <row r="13" spans="2:15" customFormat="1" ht="15" hidden="1" outlineLevel="1" x14ac:dyDescent="0.25">
      <c r="D13" s="142"/>
      <c r="F13" s="73"/>
    </row>
    <row r="14" spans="2:15" customFormat="1" ht="15" hidden="1" outlineLevel="1" x14ac:dyDescent="0.25">
      <c r="B14" s="86"/>
      <c r="C14" s="87"/>
      <c r="D14" s="86" t="s">
        <v>213</v>
      </c>
      <c r="E14" s="87"/>
      <c r="F14" s="145"/>
      <c r="G14" s="144"/>
      <c r="H14" s="144" t="s">
        <v>205</v>
      </c>
      <c r="I14" s="97"/>
      <c r="J14" s="98"/>
      <c r="K14" s="98"/>
      <c r="L14" s="98"/>
    </row>
    <row r="15" spans="2:15" customFormat="1" ht="15" hidden="1" outlineLevel="1" x14ac:dyDescent="0.25">
      <c r="D15" s="142" t="s">
        <v>214</v>
      </c>
      <c r="F15" s="73"/>
      <c r="G15" s="146"/>
      <c r="H15" s="146">
        <v>1.1200000000000001</v>
      </c>
      <c r="O15" s="152"/>
    </row>
    <row r="16" spans="2:15" customFormat="1" ht="15" hidden="1" outlineLevel="1" x14ac:dyDescent="0.25">
      <c r="D16" s="142" t="s">
        <v>215</v>
      </c>
      <c r="F16" s="73"/>
      <c r="G16" s="147"/>
      <c r="H16" s="147">
        <v>8.8099999999999998E-2</v>
      </c>
    </row>
    <row r="17" spans="2:15" customFormat="1" ht="15" hidden="1" outlineLevel="1" x14ac:dyDescent="0.25">
      <c r="D17" s="142" t="s">
        <v>216</v>
      </c>
      <c r="F17" s="73"/>
      <c r="G17" s="147"/>
      <c r="H17" s="147">
        <v>0.18440000000000001</v>
      </c>
    </row>
    <row r="18" spans="2:15" customFormat="1" ht="15" hidden="1" outlineLevel="1" x14ac:dyDescent="0.25">
      <c r="D18" s="143" t="s">
        <v>217</v>
      </c>
      <c r="F18" s="73"/>
      <c r="G18" s="147"/>
      <c r="H18" s="147">
        <v>4.3999999999999997E-2</v>
      </c>
    </row>
    <row r="19" spans="2:15" customFormat="1" ht="15" hidden="1" outlineLevel="1" x14ac:dyDescent="0.25">
      <c r="D19" s="142"/>
      <c r="F19" s="73"/>
      <c r="G19" s="77"/>
      <c r="H19" s="77"/>
    </row>
    <row r="20" spans="2:15" customFormat="1" ht="15" hidden="1" outlineLevel="1" x14ac:dyDescent="0.25">
      <c r="D20" s="142" t="s">
        <v>218</v>
      </c>
      <c r="F20" s="73"/>
      <c r="G20" s="148"/>
      <c r="H20" s="148">
        <v>78.39</v>
      </c>
    </row>
    <row r="21" spans="2:15" customFormat="1" ht="15" hidden="1" outlineLevel="1" x14ac:dyDescent="0.25"/>
    <row r="22" spans="2:15" customFormat="1" ht="15" hidden="1" outlineLevel="1" x14ac:dyDescent="0.25"/>
    <row r="23" spans="2:15" customFormat="1" ht="15" hidden="1" outlineLevel="1" x14ac:dyDescent="0.25"/>
    <row r="24" spans="2:15" collapsed="1" x14ac:dyDescent="0.2">
      <c r="O24" s="153"/>
    </row>
    <row r="25" spans="2:15" ht="15" x14ac:dyDescent="0.25">
      <c r="B25" s="86"/>
      <c r="C25" s="87"/>
      <c r="D25" s="86" t="s">
        <v>135</v>
      </c>
      <c r="E25" s="87"/>
      <c r="F25" s="87"/>
      <c r="G25" s="96" t="s">
        <v>151</v>
      </c>
      <c r="H25" s="97">
        <v>2016</v>
      </c>
      <c r="I25" s="97">
        <f>H25+1</f>
        <v>2017</v>
      </c>
      <c r="J25" s="98">
        <f t="shared" ref="J25:K25" si="0">I25+1</f>
        <v>2018</v>
      </c>
      <c r="K25" s="98">
        <f t="shared" si="0"/>
        <v>2019</v>
      </c>
      <c r="L25" s="98">
        <f>K25+1</f>
        <v>2020</v>
      </c>
    </row>
    <row r="26" spans="2:15" ht="15" hidden="1" x14ac:dyDescent="0.25">
      <c r="B26" s="88"/>
      <c r="D26" s="76" t="s">
        <v>189</v>
      </c>
      <c r="E26" s="77"/>
      <c r="F26" s="77"/>
      <c r="G26" s="77"/>
      <c r="H26" s="105">
        <v>5322</v>
      </c>
      <c r="I26" s="105">
        <v>5323</v>
      </c>
      <c r="J26" s="106">
        <v>5325</v>
      </c>
      <c r="K26" s="106">
        <v>5325</v>
      </c>
      <c r="L26" s="106">
        <v>5325</v>
      </c>
    </row>
    <row r="27" spans="2:15" ht="15" hidden="1" x14ac:dyDescent="0.25">
      <c r="B27" s="88"/>
      <c r="D27" s="76" t="s">
        <v>190</v>
      </c>
      <c r="E27" s="77"/>
      <c r="F27" s="77"/>
      <c r="G27" s="77"/>
      <c r="H27" s="105">
        <v>5322</v>
      </c>
      <c r="I27" s="105">
        <v>5336</v>
      </c>
      <c r="J27" s="106">
        <v>5335</v>
      </c>
      <c r="K27" s="106">
        <v>5335</v>
      </c>
      <c r="L27" s="106">
        <v>5335</v>
      </c>
    </row>
    <row r="28" spans="2:15" x14ac:dyDescent="0.2">
      <c r="B28" s="74"/>
      <c r="D28" s="78" t="s">
        <v>129</v>
      </c>
      <c r="E28" s="79"/>
      <c r="F28" s="80"/>
      <c r="G28" s="80"/>
      <c r="H28" s="100">
        <f>(H49/H26)*100</f>
        <v>22.829763246899663</v>
      </c>
      <c r="I28" s="100">
        <f>(I49/I26)*100</f>
        <v>126.47003569415742</v>
      </c>
      <c r="J28" s="101">
        <f>(J49/J26)*100</f>
        <v>173.48356807511738</v>
      </c>
      <c r="K28" s="101">
        <f>(K49/K26)*100</f>
        <v>147.6056338028169</v>
      </c>
      <c r="L28" s="101">
        <f>(L49/L26)*100</f>
        <v>150.64788732394365</v>
      </c>
    </row>
    <row r="29" spans="2:15" x14ac:dyDescent="0.2">
      <c r="B29" s="74"/>
      <c r="D29" s="78" t="s">
        <v>130</v>
      </c>
      <c r="E29" s="79"/>
      <c r="F29" s="80"/>
      <c r="G29" s="80"/>
      <c r="H29" s="103">
        <f>$D$2/(H28/100)</f>
        <v>125.53787654320988</v>
      </c>
      <c r="I29" s="103">
        <f>$D$2/(I28/100)</f>
        <v>22.661494355317885</v>
      </c>
      <c r="J29" s="104">
        <f>$D$2/(J28/100)</f>
        <v>16.520296600995884</v>
      </c>
      <c r="K29" s="104">
        <f>$D$2/(K28/100)</f>
        <v>19.416603053435114</v>
      </c>
      <c r="L29" s="104">
        <f>$D$2/(L28/100)</f>
        <v>19.024495138369485</v>
      </c>
    </row>
    <row r="30" spans="2:15" x14ac:dyDescent="0.2">
      <c r="B30" s="74"/>
      <c r="D30" s="78" t="s">
        <v>131</v>
      </c>
      <c r="E30" s="79"/>
      <c r="F30" s="80"/>
      <c r="G30" s="80"/>
      <c r="H30" s="103">
        <f>(H91+H90)/H39</f>
        <v>9.656843643448612</v>
      </c>
      <c r="I30" s="103">
        <f>(I91+I90)/I39</f>
        <v>5.907782385947792</v>
      </c>
      <c r="J30" s="104">
        <f>(J91+J90)/J39</f>
        <v>5.1577870529503231</v>
      </c>
      <c r="K30" s="104">
        <f>(K91+K90)/K39</f>
        <v>5.5596842014931775</v>
      </c>
      <c r="L30" s="104">
        <f>(L91+L90)/L39</f>
        <v>5.5912640414248127</v>
      </c>
    </row>
    <row r="31" spans="2:15" ht="15" x14ac:dyDescent="0.25">
      <c r="B31" s="75"/>
      <c r="D31" s="81" t="s">
        <v>132</v>
      </c>
      <c r="E31" s="77"/>
      <c r="F31" s="77"/>
      <c r="G31" s="77"/>
      <c r="H31" s="105">
        <v>41.1</v>
      </c>
      <c r="I31" s="105">
        <v>106.1</v>
      </c>
      <c r="J31" s="106">
        <v>133.30000000000001</v>
      </c>
      <c r="K31" s="106">
        <v>94.1</v>
      </c>
      <c r="L31" s="106">
        <v>96.1</v>
      </c>
    </row>
    <row r="32" spans="2:15" x14ac:dyDescent="0.2">
      <c r="B32" s="74"/>
      <c r="D32" s="78" t="s">
        <v>133</v>
      </c>
      <c r="E32" s="79"/>
      <c r="F32" s="80"/>
      <c r="G32" s="80"/>
      <c r="H32" s="102">
        <v>1</v>
      </c>
      <c r="I32" s="102">
        <v>1</v>
      </c>
      <c r="J32" s="128">
        <v>1</v>
      </c>
      <c r="K32" s="128">
        <v>1</v>
      </c>
      <c r="L32" s="128">
        <v>1</v>
      </c>
    </row>
    <row r="33" spans="2:13" x14ac:dyDescent="0.2">
      <c r="B33" s="74"/>
      <c r="D33" s="78" t="s">
        <v>38</v>
      </c>
      <c r="E33" s="79"/>
      <c r="F33" s="80"/>
      <c r="G33" s="80"/>
      <c r="H33" s="102">
        <v>1.3129999999999999</v>
      </c>
      <c r="I33" s="102">
        <v>0.63200000000000001</v>
      </c>
      <c r="J33" s="128">
        <v>0.6</v>
      </c>
      <c r="K33" s="128">
        <v>0.5</v>
      </c>
      <c r="L33" s="128">
        <v>0.5</v>
      </c>
    </row>
    <row r="34" spans="2:13" x14ac:dyDescent="0.2">
      <c r="B34" s="74"/>
      <c r="D34" s="78" t="s">
        <v>134</v>
      </c>
      <c r="E34" s="79"/>
      <c r="F34" s="80"/>
      <c r="G34" s="80"/>
      <c r="H34" s="129">
        <v>4.2000000000000003E-2</v>
      </c>
      <c r="I34" s="129">
        <v>0.1</v>
      </c>
      <c r="J34" s="130">
        <v>8.7999999999999995E-2</v>
      </c>
      <c r="K34" s="130">
        <v>9.2999999999999999E-2</v>
      </c>
      <c r="L34" s="130">
        <v>0.1</v>
      </c>
    </row>
    <row r="35" spans="2:13" ht="15" x14ac:dyDescent="0.25">
      <c r="B35" s="86"/>
      <c r="C35" s="87"/>
      <c r="D35" s="86" t="s">
        <v>136</v>
      </c>
      <c r="E35" s="87"/>
      <c r="F35" s="87"/>
      <c r="G35" s="96"/>
      <c r="H35" s="97">
        <f>H25</f>
        <v>2016</v>
      </c>
      <c r="I35" s="97">
        <f>H35+1</f>
        <v>2017</v>
      </c>
      <c r="J35" s="98">
        <f t="shared" ref="J35" si="1">I35+1</f>
        <v>2018</v>
      </c>
      <c r="K35" s="98">
        <f t="shared" ref="K35" si="2">J35+1</f>
        <v>2019</v>
      </c>
      <c r="L35" s="98">
        <f>K35+1</f>
        <v>2020</v>
      </c>
    </row>
    <row r="36" spans="2:13" ht="15" x14ac:dyDescent="0.25">
      <c r="B36" s="89"/>
      <c r="C36" s="90"/>
      <c r="D36" s="78" t="s">
        <v>137</v>
      </c>
      <c r="E36" s="108"/>
      <c r="F36" s="107"/>
      <c r="G36" s="107"/>
      <c r="H36" s="105">
        <v>30912</v>
      </c>
      <c r="I36" s="105">
        <v>38285</v>
      </c>
      <c r="J36" s="106">
        <v>44839</v>
      </c>
      <c r="K36" s="106">
        <v>43979</v>
      </c>
      <c r="L36" s="106">
        <v>45524</v>
      </c>
    </row>
    <row r="37" spans="2:13" x14ac:dyDescent="0.2">
      <c r="B37" s="74"/>
      <c r="C37" s="91"/>
      <c r="D37" s="78" t="s">
        <v>138</v>
      </c>
      <c r="E37" s="109"/>
      <c r="F37" s="108"/>
      <c r="G37" s="108"/>
      <c r="H37" s="137">
        <v>-0.307</v>
      </c>
      <c r="I37" s="135">
        <v>0.23899999999999999</v>
      </c>
      <c r="J37" s="136">
        <v>0.17100000000000001</v>
      </c>
      <c r="K37" s="138">
        <v>-1.9E-2</v>
      </c>
      <c r="L37" s="136">
        <v>3.5000000000000003E-2</v>
      </c>
      <c r="M37" s="112"/>
    </row>
    <row r="38" spans="2:13" x14ac:dyDescent="0.2">
      <c r="B38" s="74"/>
      <c r="C38" s="92"/>
      <c r="D38" s="78" t="s">
        <v>139</v>
      </c>
      <c r="E38" s="107"/>
      <c r="F38" s="109"/>
      <c r="G38" s="109"/>
      <c r="H38" s="105">
        <v>444</v>
      </c>
      <c r="I38" s="105">
        <v>-800</v>
      </c>
      <c r="J38" s="106">
        <v>0</v>
      </c>
      <c r="K38" s="106">
        <v>2</v>
      </c>
      <c r="L38" s="106">
        <v>0</v>
      </c>
    </row>
    <row r="39" spans="2:13" x14ac:dyDescent="0.2">
      <c r="B39" s="74"/>
      <c r="C39" s="90"/>
      <c r="D39" s="122" t="s">
        <v>140</v>
      </c>
      <c r="E39" s="108"/>
      <c r="F39" s="107"/>
      <c r="G39" s="107"/>
      <c r="H39" s="110">
        <v>12318</v>
      </c>
      <c r="I39" s="110">
        <v>20495</v>
      </c>
      <c r="J39" s="111">
        <v>24438</v>
      </c>
      <c r="K39" s="111">
        <v>23306</v>
      </c>
      <c r="L39" s="111">
        <v>23947</v>
      </c>
    </row>
    <row r="40" spans="2:13" x14ac:dyDescent="0.2">
      <c r="B40" s="74"/>
      <c r="C40" s="91"/>
      <c r="D40" s="78" t="s">
        <v>141</v>
      </c>
      <c r="E40" s="107"/>
      <c r="F40" s="108"/>
      <c r="G40" s="108"/>
      <c r="H40" s="112">
        <f>H39/H36</f>
        <v>0.39848602484472051</v>
      </c>
      <c r="I40" s="112">
        <f t="shared" ref="I40:L40" si="3">I39/I36</f>
        <v>0.53532715162596312</v>
      </c>
      <c r="J40" s="113">
        <f t="shared" si="3"/>
        <v>0.54501661500033449</v>
      </c>
      <c r="K40" s="113">
        <f t="shared" si="3"/>
        <v>0.52993474158120923</v>
      </c>
      <c r="L40" s="113">
        <f t="shared" si="3"/>
        <v>0.52603022581495473</v>
      </c>
    </row>
    <row r="41" spans="2:13" ht="15" x14ac:dyDescent="0.25">
      <c r="B41" s="75"/>
      <c r="C41" s="90"/>
      <c r="D41" s="123" t="s">
        <v>142</v>
      </c>
      <c r="E41" s="114"/>
      <c r="F41" s="114"/>
      <c r="G41" s="114"/>
      <c r="H41" s="115">
        <v>-18553</v>
      </c>
      <c r="I41" s="115">
        <v>-9340</v>
      </c>
      <c r="J41" s="116">
        <v>-7579</v>
      </c>
      <c r="K41" s="116">
        <v>-8129</v>
      </c>
      <c r="L41" s="116">
        <v>-8521</v>
      </c>
    </row>
    <row r="42" spans="2:13" x14ac:dyDescent="0.2">
      <c r="B42" s="74"/>
      <c r="C42" s="90"/>
      <c r="D42" s="122" t="s">
        <v>1</v>
      </c>
      <c r="E42" s="108"/>
      <c r="F42" s="107"/>
      <c r="G42" s="107"/>
      <c r="H42" s="110">
        <f>H39+H41</f>
        <v>-6235</v>
      </c>
      <c r="I42" s="110">
        <f t="shared" ref="I42:L42" si="4">I39+I41</f>
        <v>11155</v>
      </c>
      <c r="J42" s="111">
        <f t="shared" si="4"/>
        <v>16859</v>
      </c>
      <c r="K42" s="111">
        <f t="shared" si="4"/>
        <v>15177</v>
      </c>
      <c r="L42" s="111">
        <f t="shared" si="4"/>
        <v>15426</v>
      </c>
    </row>
    <row r="43" spans="2:13" x14ac:dyDescent="0.2">
      <c r="B43" s="74"/>
      <c r="C43" s="91"/>
      <c r="D43" s="124" t="s">
        <v>143</v>
      </c>
      <c r="E43" s="107"/>
      <c r="F43" s="108"/>
      <c r="G43" s="108"/>
      <c r="H43" s="134">
        <f>H42/H36</f>
        <v>-0.20170160455486544</v>
      </c>
      <c r="I43" s="135">
        <f t="shared" ref="I43:L43" si="5">I42/I36</f>
        <v>0.29136737625701969</v>
      </c>
      <c r="J43" s="136">
        <f t="shared" si="5"/>
        <v>0.37598965186556343</v>
      </c>
      <c r="K43" s="136">
        <f t="shared" si="5"/>
        <v>0.3450965233406853</v>
      </c>
      <c r="L43" s="136">
        <f t="shared" si="5"/>
        <v>0.33885423073543625</v>
      </c>
    </row>
    <row r="44" spans="2:13" x14ac:dyDescent="0.2">
      <c r="B44" s="74"/>
      <c r="C44" s="90"/>
      <c r="D44" s="78" t="s">
        <v>2</v>
      </c>
      <c r="E44" s="107"/>
      <c r="F44" s="109"/>
      <c r="G44" s="109"/>
      <c r="H44" s="105">
        <v>-1024</v>
      </c>
      <c r="I44" s="105">
        <v>-808</v>
      </c>
      <c r="J44" s="106">
        <v>-1069</v>
      </c>
      <c r="K44" s="106">
        <v>-989</v>
      </c>
      <c r="L44" s="106">
        <v>-867</v>
      </c>
    </row>
    <row r="45" spans="2:13" x14ac:dyDescent="0.2">
      <c r="B45" s="74"/>
      <c r="C45" s="90"/>
      <c r="D45" s="78" t="s">
        <v>144</v>
      </c>
      <c r="E45" s="107"/>
      <c r="F45" s="107"/>
      <c r="G45" s="107"/>
      <c r="H45" s="105">
        <v>-9363</v>
      </c>
      <c r="I45" s="105">
        <v>10745</v>
      </c>
      <c r="J45" s="106">
        <v>16460</v>
      </c>
      <c r="K45" s="106">
        <v>14630</v>
      </c>
      <c r="L45" s="106">
        <v>14962</v>
      </c>
    </row>
    <row r="46" spans="2:13" x14ac:dyDescent="0.2">
      <c r="B46" s="74"/>
      <c r="C46" s="90"/>
      <c r="D46" s="78" t="s">
        <v>145</v>
      </c>
      <c r="E46" s="108"/>
      <c r="F46" s="107"/>
      <c r="G46" s="107"/>
      <c r="H46" s="105">
        <v>1052</v>
      </c>
      <c r="I46" s="105">
        <v>-3660</v>
      </c>
      <c r="J46" s="106">
        <v>-5403</v>
      </c>
      <c r="K46" s="106">
        <v>-4856</v>
      </c>
      <c r="L46" s="106">
        <v>-4957</v>
      </c>
    </row>
    <row r="47" spans="2:13" x14ac:dyDescent="0.2">
      <c r="B47" s="74"/>
      <c r="C47" s="91"/>
      <c r="D47" s="78" t="s">
        <v>146</v>
      </c>
      <c r="E47" s="107"/>
      <c r="F47" s="108"/>
      <c r="G47" s="108"/>
      <c r="H47" s="137">
        <v>-0.112</v>
      </c>
      <c r="I47" s="137">
        <v>-0.34100000000000003</v>
      </c>
      <c r="J47" s="138">
        <v>-0.32800000000000001</v>
      </c>
      <c r="K47" s="138">
        <v>-0.33200000000000002</v>
      </c>
      <c r="L47" s="138">
        <v>-0.33100000000000002</v>
      </c>
    </row>
    <row r="48" spans="2:13" x14ac:dyDescent="0.2">
      <c r="B48" s="74"/>
      <c r="C48" s="92"/>
      <c r="D48" s="78" t="s">
        <v>147</v>
      </c>
      <c r="E48" s="107"/>
      <c r="F48" s="107"/>
      <c r="G48" s="107"/>
      <c r="H48" s="105">
        <v>-178</v>
      </c>
      <c r="I48" s="105">
        <v>-445</v>
      </c>
      <c r="J48" s="106">
        <v>-1149</v>
      </c>
      <c r="K48" s="106">
        <v>-1471</v>
      </c>
      <c r="L48" s="106">
        <v>-1580</v>
      </c>
    </row>
    <row r="49" spans="2:12" x14ac:dyDescent="0.2">
      <c r="B49" s="74"/>
      <c r="C49" s="90"/>
      <c r="D49" s="78" t="s">
        <v>148</v>
      </c>
      <c r="E49" s="109"/>
      <c r="F49" s="107"/>
      <c r="G49" s="107"/>
      <c r="H49" s="105">
        <v>1215</v>
      </c>
      <c r="I49" s="105">
        <v>6732</v>
      </c>
      <c r="J49" s="106">
        <v>9238</v>
      </c>
      <c r="K49" s="106">
        <v>7860</v>
      </c>
      <c r="L49" s="106">
        <v>8022</v>
      </c>
    </row>
    <row r="50" spans="2:12" x14ac:dyDescent="0.2">
      <c r="B50" s="74"/>
      <c r="C50" s="90"/>
      <c r="D50" s="78" t="s">
        <v>149</v>
      </c>
      <c r="E50" s="107"/>
      <c r="F50" s="109"/>
      <c r="G50" s="109"/>
      <c r="H50" s="105">
        <v>7600</v>
      </c>
      <c r="I50" s="105">
        <v>815</v>
      </c>
      <c r="J50" s="106">
        <v>0</v>
      </c>
      <c r="K50" s="106">
        <v>0</v>
      </c>
      <c r="L50" s="106">
        <v>0</v>
      </c>
    </row>
    <row r="51" spans="2:12" x14ac:dyDescent="0.2">
      <c r="B51" s="74"/>
      <c r="C51" s="90"/>
      <c r="D51" s="78" t="s">
        <v>150</v>
      </c>
      <c r="E51" s="77"/>
      <c r="F51" s="107"/>
      <c r="G51" s="107"/>
      <c r="H51" s="105">
        <v>-6385</v>
      </c>
      <c r="I51" s="105">
        <v>5917</v>
      </c>
      <c r="J51" s="106">
        <v>9238</v>
      </c>
      <c r="K51" s="106">
        <v>7860</v>
      </c>
      <c r="L51" s="106">
        <v>8022</v>
      </c>
    </row>
    <row r="52" spans="2:12" ht="15" x14ac:dyDescent="0.25">
      <c r="B52" s="86"/>
      <c r="C52" s="87"/>
      <c r="D52" s="86" t="s">
        <v>152</v>
      </c>
      <c r="E52" s="96"/>
      <c r="F52" s="96"/>
      <c r="G52" s="96"/>
      <c r="H52" s="97">
        <f>H25</f>
        <v>2016</v>
      </c>
      <c r="I52" s="97">
        <f>H52+1</f>
        <v>2017</v>
      </c>
      <c r="J52" s="98">
        <f t="shared" ref="J52" si="6">I52+1</f>
        <v>2018</v>
      </c>
      <c r="K52" s="98">
        <f t="shared" ref="K52" si="7">J52+1</f>
        <v>2019</v>
      </c>
      <c r="L52" s="98">
        <f>K52+1</f>
        <v>2020</v>
      </c>
    </row>
    <row r="53" spans="2:12" x14ac:dyDescent="0.2">
      <c r="B53" s="93"/>
      <c r="C53" s="90"/>
      <c r="D53" s="78" t="s">
        <v>1</v>
      </c>
      <c r="E53" s="107"/>
      <c r="F53" s="107"/>
      <c r="G53" s="107"/>
      <c r="H53" s="105">
        <v>-6235</v>
      </c>
      <c r="I53" s="105">
        <v>11154</v>
      </c>
      <c r="J53" s="106">
        <v>16859</v>
      </c>
      <c r="K53" s="106">
        <v>15177</v>
      </c>
      <c r="L53" s="106">
        <v>15427</v>
      </c>
    </row>
    <row r="54" spans="2:12" x14ac:dyDescent="0.2">
      <c r="B54" s="93"/>
      <c r="C54" s="90"/>
      <c r="D54" s="78" t="s">
        <v>153</v>
      </c>
      <c r="E54" s="78"/>
      <c r="F54" s="107"/>
      <c r="G54" s="107"/>
      <c r="H54" s="105">
        <v>-1645</v>
      </c>
      <c r="I54" s="105">
        <v>-3660</v>
      </c>
      <c r="J54" s="106">
        <v>-5403</v>
      </c>
      <c r="K54" s="106">
        <v>-4856</v>
      </c>
      <c r="L54" s="106">
        <v>-4957</v>
      </c>
    </row>
    <row r="55" spans="2:12" x14ac:dyDescent="0.2">
      <c r="B55" s="93"/>
      <c r="C55" s="92"/>
      <c r="D55" s="78" t="s">
        <v>2</v>
      </c>
      <c r="E55" s="78"/>
      <c r="F55" s="109"/>
      <c r="G55" s="109"/>
      <c r="H55" s="105">
        <v>-702</v>
      </c>
      <c r="I55" s="105">
        <v>-808</v>
      </c>
      <c r="J55" s="106">
        <v>-1069</v>
      </c>
      <c r="K55" s="106">
        <v>-989</v>
      </c>
      <c r="L55" s="106">
        <v>-867</v>
      </c>
    </row>
    <row r="56" spans="2:12" x14ac:dyDescent="0.2">
      <c r="B56" s="93"/>
      <c r="C56" s="90"/>
      <c r="D56" s="78" t="s">
        <v>154</v>
      </c>
      <c r="E56" s="78"/>
      <c r="F56" s="107"/>
      <c r="G56" s="107"/>
      <c r="H56" s="105">
        <v>11298</v>
      </c>
      <c r="I56" s="105">
        <v>14421</v>
      </c>
      <c r="J56" s="106">
        <v>16998</v>
      </c>
      <c r="K56" s="106">
        <v>17054</v>
      </c>
      <c r="L56" s="106">
        <v>17525</v>
      </c>
    </row>
    <row r="57" spans="2:12" x14ac:dyDescent="0.2">
      <c r="B57" s="93"/>
      <c r="C57" s="90"/>
      <c r="D57" s="78" t="s">
        <v>142</v>
      </c>
      <c r="E57" s="78"/>
      <c r="F57" s="107"/>
      <c r="G57" s="107"/>
      <c r="H57" s="105">
        <v>8661</v>
      </c>
      <c r="I57" s="105">
        <v>8080</v>
      </c>
      <c r="J57" s="106">
        <v>8249</v>
      </c>
      <c r="K57" s="106">
        <v>8574</v>
      </c>
      <c r="L57" s="106">
        <v>8924</v>
      </c>
    </row>
    <row r="58" spans="2:12" x14ac:dyDescent="0.2">
      <c r="B58" s="93"/>
      <c r="C58" s="90"/>
      <c r="D58" s="123" t="s">
        <v>155</v>
      </c>
      <c r="E58" s="125"/>
      <c r="F58" s="114"/>
      <c r="G58" s="114"/>
      <c r="H58" s="115">
        <v>-1036</v>
      </c>
      <c r="I58" s="115">
        <v>-14439</v>
      </c>
      <c r="J58" s="116">
        <v>-16905</v>
      </c>
      <c r="K58" s="116">
        <v>-16258</v>
      </c>
      <c r="L58" s="116">
        <v>-16925</v>
      </c>
    </row>
    <row r="59" spans="2:12" x14ac:dyDescent="0.2">
      <c r="B59" s="93"/>
      <c r="C59" s="90"/>
      <c r="D59" s="122" t="s">
        <v>45</v>
      </c>
      <c r="E59" s="78"/>
      <c r="F59" s="107"/>
      <c r="G59" s="107"/>
      <c r="H59" s="110">
        <f>SUM(H53:H58)</f>
        <v>10341</v>
      </c>
      <c r="I59" s="110">
        <f>SUM(I53:I58)</f>
        <v>14748</v>
      </c>
      <c r="J59" s="111">
        <f>SUM(J53:J58)</f>
        <v>18729</v>
      </c>
      <c r="K59" s="111">
        <f>SUM(K53:K58)</f>
        <v>18702</v>
      </c>
      <c r="L59" s="111">
        <f>SUM(L53:L58)</f>
        <v>19127</v>
      </c>
    </row>
    <row r="60" spans="2:12" x14ac:dyDescent="0.2">
      <c r="B60" s="93"/>
      <c r="C60" s="90"/>
      <c r="D60" s="78" t="s">
        <v>156</v>
      </c>
      <c r="E60" s="78"/>
      <c r="F60" s="107"/>
      <c r="G60" s="107"/>
      <c r="H60" s="105">
        <v>-6946</v>
      </c>
      <c r="I60" s="105">
        <v>-4252</v>
      </c>
      <c r="J60" s="106">
        <v>-6419</v>
      </c>
      <c r="K60" s="106">
        <v>-5696</v>
      </c>
      <c r="L60" s="106">
        <v>-5218</v>
      </c>
    </row>
    <row r="61" spans="2:12" x14ac:dyDescent="0.2">
      <c r="B61" s="93"/>
      <c r="C61" s="92"/>
      <c r="D61" s="78" t="s">
        <v>157</v>
      </c>
      <c r="E61" s="78"/>
      <c r="F61" s="107"/>
      <c r="G61" s="107"/>
      <c r="H61" s="105">
        <v>-335</v>
      </c>
      <c r="I61" s="105">
        <v>-968</v>
      </c>
      <c r="J61" s="106">
        <v>-992</v>
      </c>
      <c r="K61" s="106">
        <v>-1017</v>
      </c>
      <c r="L61" s="106">
        <v>-1042</v>
      </c>
    </row>
    <row r="62" spans="2:12" x14ac:dyDescent="0.2">
      <c r="B62" s="93"/>
      <c r="C62" s="92"/>
      <c r="D62" s="78" t="s">
        <v>158</v>
      </c>
      <c r="E62" s="78"/>
      <c r="F62" s="109"/>
      <c r="G62" s="109"/>
      <c r="H62" s="105">
        <v>273</v>
      </c>
      <c r="I62" s="105">
        <v>0</v>
      </c>
      <c r="J62" s="106">
        <v>0</v>
      </c>
      <c r="K62" s="106">
        <v>0</v>
      </c>
      <c r="L62" s="106">
        <v>0</v>
      </c>
    </row>
    <row r="63" spans="2:12" x14ac:dyDescent="0.2">
      <c r="B63" s="93"/>
      <c r="C63" s="92"/>
      <c r="D63" s="126" t="s">
        <v>155</v>
      </c>
      <c r="E63" s="126"/>
      <c r="F63" s="117"/>
      <c r="G63" s="117"/>
      <c r="H63" s="115">
        <v>-237</v>
      </c>
      <c r="I63" s="115">
        <v>0</v>
      </c>
      <c r="J63" s="116">
        <v>0</v>
      </c>
      <c r="K63" s="116">
        <v>0</v>
      </c>
      <c r="L63" s="116">
        <v>0</v>
      </c>
    </row>
    <row r="64" spans="2:12" x14ac:dyDescent="0.2">
      <c r="B64" s="93"/>
      <c r="C64" s="90"/>
      <c r="D64" s="122" t="s">
        <v>159</v>
      </c>
      <c r="E64" s="78"/>
      <c r="F64" s="107"/>
      <c r="G64" s="107"/>
      <c r="H64" s="110">
        <f>SUM(H60:H63)</f>
        <v>-7245</v>
      </c>
      <c r="I64" s="110">
        <f t="shared" ref="I64:L64" si="8">SUM(I60:I63)</f>
        <v>-5220</v>
      </c>
      <c r="J64" s="111">
        <f t="shared" si="8"/>
        <v>-7411</v>
      </c>
      <c r="K64" s="111">
        <f t="shared" si="8"/>
        <v>-6713</v>
      </c>
      <c r="L64" s="111">
        <f t="shared" si="8"/>
        <v>-6260</v>
      </c>
    </row>
    <row r="65" spans="2:12" x14ac:dyDescent="0.2">
      <c r="B65" s="93"/>
      <c r="C65" s="90"/>
      <c r="D65" s="122" t="s">
        <v>46</v>
      </c>
      <c r="E65" s="78"/>
      <c r="F65" s="107"/>
      <c r="G65" s="107"/>
      <c r="H65" s="110">
        <f>H59+H64</f>
        <v>3096</v>
      </c>
      <c r="I65" s="110">
        <f t="shared" ref="I65:L65" si="9">I59+I64</f>
        <v>9528</v>
      </c>
      <c r="J65" s="111">
        <f t="shared" si="9"/>
        <v>11318</v>
      </c>
      <c r="K65" s="111">
        <f t="shared" si="9"/>
        <v>11989</v>
      </c>
      <c r="L65" s="111">
        <f t="shared" si="9"/>
        <v>12867</v>
      </c>
    </row>
    <row r="66" spans="2:12" x14ac:dyDescent="0.2">
      <c r="B66" s="93"/>
      <c r="C66" s="92"/>
      <c r="D66" s="78" t="s">
        <v>160</v>
      </c>
      <c r="E66" s="78"/>
      <c r="F66" s="109"/>
      <c r="G66" s="109"/>
      <c r="H66" s="105">
        <v>-106</v>
      </c>
      <c r="I66" s="105">
        <v>0</v>
      </c>
      <c r="J66" s="106">
        <v>0</v>
      </c>
      <c r="K66" s="106">
        <v>0</v>
      </c>
      <c r="L66" s="106">
        <v>0</v>
      </c>
    </row>
    <row r="67" spans="2:12" x14ac:dyDescent="0.2">
      <c r="B67" s="93"/>
      <c r="C67" s="90"/>
      <c r="D67" s="78" t="s">
        <v>161</v>
      </c>
      <c r="E67" s="78"/>
      <c r="F67" s="107"/>
      <c r="G67" s="107"/>
      <c r="H67" s="105">
        <v>-4130</v>
      </c>
      <c r="I67" s="105">
        <v>-2875</v>
      </c>
      <c r="J67" s="106">
        <v>-5453</v>
      </c>
      <c r="K67" s="106">
        <v>-4182</v>
      </c>
      <c r="L67" s="106">
        <v>-3971</v>
      </c>
    </row>
    <row r="68" spans="2:12" x14ac:dyDescent="0.2">
      <c r="B68" s="93"/>
      <c r="C68" s="90"/>
      <c r="D68" s="78" t="s">
        <v>162</v>
      </c>
      <c r="E68" s="78"/>
      <c r="F68" s="109"/>
      <c r="G68" s="109"/>
      <c r="H68" s="105">
        <v>4607</v>
      </c>
      <c r="I68" s="105">
        <v>-2500</v>
      </c>
      <c r="J68" s="106">
        <v>0</v>
      </c>
      <c r="K68" s="106">
        <v>0</v>
      </c>
      <c r="L68" s="106">
        <v>0</v>
      </c>
    </row>
    <row r="69" spans="2:12" x14ac:dyDescent="0.2">
      <c r="B69" s="93"/>
      <c r="C69" s="92"/>
      <c r="D69" s="126" t="s">
        <v>155</v>
      </c>
      <c r="E69" s="126"/>
      <c r="F69" s="114"/>
      <c r="G69" s="114"/>
      <c r="H69" s="115">
        <v>-87</v>
      </c>
      <c r="I69" s="115">
        <v>-445</v>
      </c>
      <c r="J69" s="116">
        <v>-1149</v>
      </c>
      <c r="K69" s="116">
        <v>-1471</v>
      </c>
      <c r="L69" s="116">
        <v>-1580</v>
      </c>
    </row>
    <row r="70" spans="2:12" x14ac:dyDescent="0.2">
      <c r="B70" s="93"/>
      <c r="C70" s="92"/>
      <c r="D70" s="122" t="s">
        <v>163</v>
      </c>
      <c r="E70" s="78"/>
      <c r="F70" s="107"/>
      <c r="G70" s="107"/>
      <c r="H70" s="110">
        <f>SUM(H67:H69)</f>
        <v>390</v>
      </c>
      <c r="I70" s="110">
        <f t="shared" ref="I70:L70" si="10">SUM(I67:I69)</f>
        <v>-5820</v>
      </c>
      <c r="J70" s="111">
        <f t="shared" si="10"/>
        <v>-6602</v>
      </c>
      <c r="K70" s="111">
        <f t="shared" si="10"/>
        <v>-5653</v>
      </c>
      <c r="L70" s="111">
        <f t="shared" si="10"/>
        <v>-5551</v>
      </c>
    </row>
    <row r="71" spans="2:12" x14ac:dyDescent="0.2">
      <c r="B71" s="93"/>
      <c r="C71" s="92"/>
      <c r="D71" s="78" t="s">
        <v>164</v>
      </c>
      <c r="E71" s="78"/>
      <c r="F71" s="109"/>
      <c r="G71" s="109"/>
      <c r="H71" s="105">
        <v>0</v>
      </c>
      <c r="I71" s="105">
        <v>0</v>
      </c>
      <c r="J71" s="106">
        <v>0</v>
      </c>
      <c r="K71" s="106">
        <v>0</v>
      </c>
      <c r="L71" s="106">
        <v>0</v>
      </c>
    </row>
    <row r="72" spans="2:12" x14ac:dyDescent="0.2">
      <c r="B72" s="93"/>
      <c r="C72" s="90"/>
      <c r="D72" s="122" t="s">
        <v>165</v>
      </c>
      <c r="E72" s="78"/>
      <c r="F72" s="107"/>
      <c r="G72" s="107"/>
      <c r="H72" s="110">
        <f>H65+H70</f>
        <v>3486</v>
      </c>
      <c r="I72" s="110">
        <f>I65+I70</f>
        <v>3708</v>
      </c>
      <c r="J72" s="111">
        <f>J65+J70</f>
        <v>4716</v>
      </c>
      <c r="K72" s="111">
        <f>K65+K70</f>
        <v>6336</v>
      </c>
      <c r="L72" s="111">
        <f>L65+L70</f>
        <v>7316</v>
      </c>
    </row>
    <row r="73" spans="2:12" ht="15" x14ac:dyDescent="0.25">
      <c r="B73" s="86"/>
      <c r="C73" s="87"/>
      <c r="D73" s="86" t="s">
        <v>166</v>
      </c>
      <c r="E73" s="96"/>
      <c r="F73" s="96"/>
      <c r="G73" s="96"/>
      <c r="H73" s="97">
        <f>H25</f>
        <v>2016</v>
      </c>
      <c r="I73" s="97">
        <f>H73+1</f>
        <v>2017</v>
      </c>
      <c r="J73" s="98">
        <f t="shared" ref="J73" si="11">I73+1</f>
        <v>2018</v>
      </c>
      <c r="K73" s="98">
        <f t="shared" ref="K73" si="12">J73+1</f>
        <v>2019</v>
      </c>
      <c r="L73" s="98">
        <f>K73+1</f>
        <v>2020</v>
      </c>
    </row>
    <row r="74" spans="2:12" x14ac:dyDescent="0.2">
      <c r="D74" s="78" t="s">
        <v>4</v>
      </c>
      <c r="E74" s="107"/>
      <c r="F74" s="107"/>
      <c r="G74" s="107"/>
      <c r="H74" s="105">
        <v>10319</v>
      </c>
      <c r="I74" s="105">
        <v>14153</v>
      </c>
      <c r="J74" s="106">
        <v>18869</v>
      </c>
      <c r="K74" s="106">
        <v>25204</v>
      </c>
      <c r="L74" s="106">
        <v>32519</v>
      </c>
    </row>
    <row r="75" spans="2:12" x14ac:dyDescent="0.2">
      <c r="D75" s="78" t="s">
        <v>167</v>
      </c>
      <c r="E75" s="78"/>
      <c r="F75" s="107"/>
      <c r="G75" s="107"/>
      <c r="H75" s="105">
        <v>3155</v>
      </c>
      <c r="I75" s="105">
        <v>3908</v>
      </c>
      <c r="J75" s="106">
        <v>4576</v>
      </c>
      <c r="K75" s="106">
        <v>4489</v>
      </c>
      <c r="L75" s="106">
        <v>4646</v>
      </c>
    </row>
    <row r="76" spans="2:12" x14ac:dyDescent="0.2">
      <c r="D76" s="78" t="s">
        <v>168</v>
      </c>
      <c r="E76" s="78"/>
      <c r="F76" s="107"/>
      <c r="G76" s="107"/>
      <c r="H76" s="105">
        <v>3411</v>
      </c>
      <c r="I76" s="105">
        <v>4225</v>
      </c>
      <c r="J76" s="106">
        <v>4948</v>
      </c>
      <c r="K76" s="106">
        <v>4853</v>
      </c>
      <c r="L76" s="106">
        <v>5023</v>
      </c>
    </row>
    <row r="77" spans="2:12" x14ac:dyDescent="0.2">
      <c r="D77" s="78" t="s">
        <v>169</v>
      </c>
      <c r="E77" s="78"/>
      <c r="F77" s="109"/>
      <c r="G77" s="109"/>
      <c r="H77" s="105">
        <v>829</v>
      </c>
      <c r="I77" s="105">
        <v>829</v>
      </c>
      <c r="J77" s="106">
        <v>829</v>
      </c>
      <c r="K77" s="106">
        <v>829</v>
      </c>
      <c r="L77" s="106">
        <v>829</v>
      </c>
    </row>
    <row r="78" spans="2:12" x14ac:dyDescent="0.2">
      <c r="D78" s="127" t="s">
        <v>192</v>
      </c>
      <c r="E78" s="126"/>
      <c r="F78" s="117"/>
      <c r="G78" s="117"/>
      <c r="H78" s="118">
        <f>SUM(H74:H77)</f>
        <v>17714</v>
      </c>
      <c r="I78" s="118">
        <f t="shared" ref="I78:L78" si="13">SUM(I74:I77)</f>
        <v>23115</v>
      </c>
      <c r="J78" s="119">
        <f t="shared" si="13"/>
        <v>29222</v>
      </c>
      <c r="K78" s="119">
        <f t="shared" si="13"/>
        <v>35375</v>
      </c>
      <c r="L78" s="119">
        <f t="shared" si="13"/>
        <v>43017</v>
      </c>
    </row>
    <row r="79" spans="2:12" x14ac:dyDescent="0.2">
      <c r="D79" s="78" t="s">
        <v>170</v>
      </c>
      <c r="E79" s="78"/>
      <c r="F79" s="107"/>
      <c r="G79" s="107"/>
      <c r="H79" s="105">
        <v>83975</v>
      </c>
      <c r="I79" s="105">
        <v>80467</v>
      </c>
      <c r="J79" s="106">
        <v>78944</v>
      </c>
      <c r="K79" s="106">
        <v>76365</v>
      </c>
      <c r="L79" s="106">
        <v>72961</v>
      </c>
    </row>
    <row r="80" spans="2:12" x14ac:dyDescent="0.2">
      <c r="D80" s="78" t="s">
        <v>171</v>
      </c>
      <c r="E80" s="78"/>
      <c r="F80" s="107"/>
      <c r="G80" s="107"/>
      <c r="H80" s="105">
        <v>4119</v>
      </c>
      <c r="I80" s="105">
        <v>3964</v>
      </c>
      <c r="J80" s="106">
        <v>4000</v>
      </c>
      <c r="K80" s="106">
        <v>4000</v>
      </c>
      <c r="L80" s="106">
        <v>4000</v>
      </c>
    </row>
    <row r="81" spans="2:23" x14ac:dyDescent="0.2">
      <c r="D81" s="77" t="s">
        <v>172</v>
      </c>
      <c r="E81" s="81"/>
      <c r="F81" s="109"/>
      <c r="G81" s="109"/>
      <c r="H81" s="105">
        <v>121</v>
      </c>
      <c r="I81" s="105">
        <v>121</v>
      </c>
      <c r="J81" s="106">
        <v>121</v>
      </c>
      <c r="K81" s="106">
        <v>121</v>
      </c>
      <c r="L81" s="106">
        <v>121</v>
      </c>
    </row>
    <row r="82" spans="2:23" x14ac:dyDescent="0.2">
      <c r="D82" s="78" t="s">
        <v>173</v>
      </c>
      <c r="E82" s="78"/>
      <c r="F82" s="107"/>
      <c r="G82" s="107"/>
      <c r="H82" s="105">
        <v>13024</v>
      </c>
      <c r="I82" s="105">
        <v>13413</v>
      </c>
      <c r="J82" s="106">
        <v>13759</v>
      </c>
      <c r="K82" s="106">
        <v>13713</v>
      </c>
      <c r="L82" s="106">
        <v>13795</v>
      </c>
    </row>
    <row r="83" spans="2:23" x14ac:dyDescent="0.2">
      <c r="D83" s="127" t="s">
        <v>191</v>
      </c>
      <c r="E83" s="126"/>
      <c r="F83" s="114"/>
      <c r="G83" s="114"/>
      <c r="H83" s="118">
        <f>SUM(H79:H82)</f>
        <v>101239</v>
      </c>
      <c r="I83" s="118">
        <f t="shared" ref="I83:L83" si="14">SUM(I79:I82)</f>
        <v>97965</v>
      </c>
      <c r="J83" s="119">
        <f t="shared" si="14"/>
        <v>96824</v>
      </c>
      <c r="K83" s="119">
        <f t="shared" si="14"/>
        <v>94199</v>
      </c>
      <c r="L83" s="119">
        <f t="shared" si="14"/>
        <v>90877</v>
      </c>
    </row>
    <row r="84" spans="2:23" x14ac:dyDescent="0.2">
      <c r="D84" s="122" t="s">
        <v>174</v>
      </c>
      <c r="E84" s="78"/>
      <c r="F84" s="107"/>
      <c r="G84" s="107"/>
      <c r="H84" s="110">
        <f>H78+H83</f>
        <v>118953</v>
      </c>
      <c r="I84" s="110">
        <f t="shared" ref="I84:L84" si="15">I78+I83</f>
        <v>121080</v>
      </c>
      <c r="J84" s="111">
        <f t="shared" si="15"/>
        <v>126046</v>
      </c>
      <c r="K84" s="111">
        <f t="shared" si="15"/>
        <v>129574</v>
      </c>
      <c r="L84" s="111">
        <f t="shared" si="15"/>
        <v>133894</v>
      </c>
    </row>
    <row r="85" spans="2:23" x14ac:dyDescent="0.2">
      <c r="D85" s="78" t="s">
        <v>175</v>
      </c>
      <c r="E85" s="78"/>
      <c r="F85" s="107"/>
      <c r="G85" s="107"/>
      <c r="H85" s="105">
        <v>5389</v>
      </c>
      <c r="I85" s="105">
        <v>6674</v>
      </c>
      <c r="J85" s="106">
        <v>7817</v>
      </c>
      <c r="K85" s="106">
        <v>7667</v>
      </c>
      <c r="L85" s="106">
        <v>7936</v>
      </c>
    </row>
    <row r="86" spans="2:23" x14ac:dyDescent="0.2">
      <c r="D86" s="78" t="s">
        <v>176</v>
      </c>
      <c r="E86" s="78"/>
      <c r="F86" s="107"/>
      <c r="G86" s="107"/>
      <c r="H86" s="105">
        <v>4653</v>
      </c>
      <c r="I86" s="105">
        <v>1241</v>
      </c>
      <c r="J86" s="106">
        <v>1241</v>
      </c>
      <c r="K86" s="106">
        <v>1241</v>
      </c>
      <c r="L86" s="106">
        <v>1241</v>
      </c>
    </row>
    <row r="87" spans="2:23" x14ac:dyDescent="0.2">
      <c r="D87" s="78" t="s">
        <v>177</v>
      </c>
      <c r="E87" s="78"/>
      <c r="F87" s="107"/>
      <c r="G87" s="107"/>
      <c r="H87" s="105">
        <v>31768</v>
      </c>
      <c r="I87" s="105">
        <v>29233</v>
      </c>
      <c r="J87" s="106">
        <v>29233</v>
      </c>
      <c r="K87" s="106">
        <v>29233</v>
      </c>
      <c r="L87" s="106">
        <v>29233</v>
      </c>
    </row>
    <row r="88" spans="2:23" x14ac:dyDescent="0.2">
      <c r="D88" s="78" t="s">
        <v>178</v>
      </c>
      <c r="E88" s="78"/>
      <c r="F88" s="109"/>
      <c r="G88" s="109"/>
      <c r="H88" s="105">
        <v>451</v>
      </c>
      <c r="I88" s="105">
        <v>451</v>
      </c>
      <c r="J88" s="106">
        <v>451</v>
      </c>
      <c r="K88" s="106">
        <v>451</v>
      </c>
      <c r="L88" s="106">
        <v>451</v>
      </c>
      <c r="W88" s="94"/>
    </row>
    <row r="89" spans="2:23" x14ac:dyDescent="0.2">
      <c r="D89" s="78" t="s">
        <v>155</v>
      </c>
      <c r="E89" s="78"/>
      <c r="F89" s="107"/>
      <c r="G89" s="107"/>
      <c r="H89" s="105">
        <v>16621</v>
      </c>
      <c r="I89" s="105">
        <v>16624</v>
      </c>
      <c r="J89" s="106">
        <v>16627</v>
      </c>
      <c r="K89" s="106">
        <v>16626</v>
      </c>
      <c r="L89" s="106">
        <v>16627</v>
      </c>
    </row>
    <row r="90" spans="2:23" x14ac:dyDescent="0.2">
      <c r="D90" s="127" t="s">
        <v>5</v>
      </c>
      <c r="E90" s="126"/>
      <c r="F90" s="114"/>
      <c r="G90" s="114"/>
      <c r="H90" s="118">
        <f>SUM(H85:H89)</f>
        <v>58882</v>
      </c>
      <c r="I90" s="118">
        <f t="shared" ref="I90:L90" si="16">SUM(I85:I89)</f>
        <v>54223</v>
      </c>
      <c r="J90" s="119">
        <f t="shared" si="16"/>
        <v>55369</v>
      </c>
      <c r="K90" s="119">
        <f t="shared" si="16"/>
        <v>55218</v>
      </c>
      <c r="L90" s="119">
        <f t="shared" si="16"/>
        <v>55488</v>
      </c>
    </row>
    <row r="91" spans="2:23" x14ac:dyDescent="0.2">
      <c r="D91" s="78" t="s">
        <v>193</v>
      </c>
      <c r="E91" s="78"/>
      <c r="F91" s="107"/>
      <c r="G91" s="107"/>
      <c r="H91" s="105">
        <f>H84-H90</f>
        <v>60071</v>
      </c>
      <c r="I91" s="105">
        <f t="shared" ref="I91:L91" si="17">I84-I90</f>
        <v>66857</v>
      </c>
      <c r="J91" s="106">
        <f t="shared" si="17"/>
        <v>70677</v>
      </c>
      <c r="K91" s="106">
        <f t="shared" si="17"/>
        <v>74356</v>
      </c>
      <c r="L91" s="106">
        <f t="shared" si="17"/>
        <v>78406</v>
      </c>
    </row>
    <row r="92" spans="2:23" ht="15" x14ac:dyDescent="0.25">
      <c r="B92" s="86"/>
      <c r="C92" s="87"/>
      <c r="D92" s="86" t="s">
        <v>184</v>
      </c>
      <c r="E92" s="96"/>
      <c r="F92" s="96"/>
      <c r="G92" s="96"/>
      <c r="H92" s="97">
        <f>H25</f>
        <v>2016</v>
      </c>
      <c r="I92" s="97">
        <f>H92+1</f>
        <v>2017</v>
      </c>
      <c r="J92" s="98">
        <f t="shared" ref="J92" si="18">I92+1</f>
        <v>2018</v>
      </c>
      <c r="K92" s="98">
        <f t="shared" ref="K92" si="19">J92+1</f>
        <v>2019</v>
      </c>
      <c r="L92" s="98">
        <f t="shared" ref="L92" si="20">K92+1</f>
        <v>2020</v>
      </c>
    </row>
    <row r="93" spans="2:23" x14ac:dyDescent="0.2">
      <c r="B93" s="93"/>
      <c r="C93" s="91"/>
      <c r="D93" s="78" t="s">
        <v>179</v>
      </c>
      <c r="E93" s="108"/>
      <c r="F93" s="108"/>
      <c r="G93" s="108"/>
      <c r="H93" s="108">
        <v>0.02</v>
      </c>
      <c r="I93" s="139">
        <v>0.121</v>
      </c>
      <c r="J93" s="120">
        <v>0.156</v>
      </c>
      <c r="K93" s="120">
        <v>0.125</v>
      </c>
      <c r="L93" s="120">
        <v>0.12</v>
      </c>
    </row>
    <row r="94" spans="2:23" x14ac:dyDescent="0.2">
      <c r="B94" s="93"/>
      <c r="C94" s="91"/>
      <c r="D94" s="78" t="s">
        <v>180</v>
      </c>
      <c r="E94" s="108"/>
      <c r="F94" s="108"/>
      <c r="G94" s="108"/>
      <c r="H94" s="133">
        <v>-0.06</v>
      </c>
      <c r="I94" s="140">
        <v>0.121</v>
      </c>
      <c r="J94" s="128">
        <v>0.189</v>
      </c>
      <c r="K94" s="128">
        <v>0.17699999999999999</v>
      </c>
      <c r="L94" s="128">
        <v>0.192</v>
      </c>
    </row>
    <row r="95" spans="2:23" x14ac:dyDescent="0.2">
      <c r="B95" s="93"/>
      <c r="C95" s="95"/>
      <c r="D95" s="78" t="s">
        <v>181</v>
      </c>
      <c r="E95" s="121"/>
      <c r="F95" s="121"/>
      <c r="G95" s="121"/>
      <c r="H95" s="108">
        <v>0.32500000000000001</v>
      </c>
      <c r="I95" s="139">
        <v>0.222</v>
      </c>
      <c r="J95" s="120">
        <v>0.16</v>
      </c>
      <c r="K95" s="120">
        <v>7.4999999999999997E-2</v>
      </c>
      <c r="L95" s="120">
        <v>-3.1E-2</v>
      </c>
    </row>
    <row r="96" spans="2:23" x14ac:dyDescent="0.2">
      <c r="B96" s="93"/>
      <c r="C96" s="95"/>
      <c r="D96" s="78" t="s">
        <v>182</v>
      </c>
      <c r="E96" s="121"/>
      <c r="F96" s="121"/>
      <c r="G96" s="121"/>
      <c r="H96" s="131">
        <v>2.1</v>
      </c>
      <c r="I96" s="141">
        <v>0.8</v>
      </c>
      <c r="J96" s="132">
        <v>0.5</v>
      </c>
      <c r="K96" s="132">
        <v>0.2</v>
      </c>
      <c r="L96" s="132">
        <v>-0.1</v>
      </c>
    </row>
    <row r="97" spans="4:12" x14ac:dyDescent="0.2">
      <c r="D97" s="78" t="s">
        <v>183</v>
      </c>
      <c r="E97" s="77"/>
      <c r="F97" s="77"/>
      <c r="G97" s="77"/>
      <c r="H97" s="131">
        <v>1.4</v>
      </c>
      <c r="I97" s="141">
        <v>1.7</v>
      </c>
      <c r="J97" s="132">
        <v>2.1</v>
      </c>
      <c r="K97" s="132">
        <v>2</v>
      </c>
      <c r="L97" s="132">
        <v>1.9</v>
      </c>
    </row>
    <row r="98" spans="4:12" x14ac:dyDescent="0.2">
      <c r="G98" s="77"/>
      <c r="H98" s="131"/>
      <c r="I98" s="131"/>
      <c r="J98" s="132"/>
      <c r="K98" s="132"/>
      <c r="L98" s="99"/>
    </row>
  </sheetData>
  <mergeCells count="2">
    <mergeCell ref="B1:B2"/>
    <mergeCell ref="J1:L2"/>
  </mergeCells>
  <pageMargins left="0.7" right="0.7" top="0.75" bottom="0.75" header="0.3" footer="0.3"/>
  <pageSetup orientation="portrait" r:id="rId1"/>
  <ignoredErrors>
    <ignoredError sqref="H70:L7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E182-0268-413C-A960-D78C2BAD2106}">
  <dimension ref="A2:B10"/>
  <sheetViews>
    <sheetView topLeftCell="B1" workbookViewId="0">
      <selection activeCell="L28" sqref="L28"/>
    </sheetView>
  </sheetViews>
  <sheetFormatPr defaultRowHeight="15" x14ac:dyDescent="0.25"/>
  <sheetData>
    <row r="2" spans="1:2" x14ac:dyDescent="0.25">
      <c r="A2" t="s">
        <v>194</v>
      </c>
      <c r="B2" t="s">
        <v>195</v>
      </c>
    </row>
    <row r="3" spans="1:2" x14ac:dyDescent="0.25">
      <c r="A3" t="s">
        <v>196</v>
      </c>
      <c r="B3" s="70">
        <v>3.7999999999999999E-2</v>
      </c>
    </row>
    <row r="4" spans="1:2" x14ac:dyDescent="0.25">
      <c r="A4" t="s">
        <v>197</v>
      </c>
      <c r="B4" s="70">
        <v>3.6999999999999998E-2</v>
      </c>
    </row>
    <row r="5" spans="1:2" x14ac:dyDescent="0.25">
      <c r="A5" t="s">
        <v>198</v>
      </c>
      <c r="B5" s="13">
        <v>0.06</v>
      </c>
    </row>
    <row r="6" spans="1:2" x14ac:dyDescent="0.25">
      <c r="A6" t="s">
        <v>199</v>
      </c>
      <c r="B6" s="70">
        <v>2.1000000000000001E-2</v>
      </c>
    </row>
    <row r="7" spans="1:2" x14ac:dyDescent="0.25">
      <c r="A7" t="s">
        <v>200</v>
      </c>
      <c r="B7" s="70">
        <v>4.5999999999999999E-2</v>
      </c>
    </row>
    <row r="8" spans="1:2" x14ac:dyDescent="0.25">
      <c r="A8" t="s">
        <v>201</v>
      </c>
      <c r="B8" s="11" t="e">
        <f>'Financial Summary'!#REF!</f>
        <v>#REF!</v>
      </c>
    </row>
    <row r="9" spans="1:2" x14ac:dyDescent="0.25">
      <c r="A9" t="s">
        <v>202</v>
      </c>
      <c r="B9" s="11" t="e">
        <f>'Financial Summary'!#REF!</f>
        <v>#REF!</v>
      </c>
    </row>
    <row r="10" spans="1:2" x14ac:dyDescent="0.25">
      <c r="A10" t="s">
        <v>203</v>
      </c>
      <c r="B10" s="11" t="e">
        <f>'Financial Summary'!#REF!</f>
        <v>#REF!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Workings</vt:lpstr>
      <vt:lpstr>Assumptions</vt:lpstr>
      <vt:lpstr>Simple Segmented Financials</vt:lpstr>
      <vt:lpstr>Simple Financials</vt:lpstr>
      <vt:lpstr>Financial Summary</vt:lpstr>
      <vt:lpstr>Simple Div 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Kaiden J Gilbert</dc:creator>
  <cp:lastModifiedBy>Kaiden J Gilbert</cp:lastModifiedBy>
  <dcterms:created xsi:type="dcterms:W3CDTF">2018-04-08T02:58:40Z</dcterms:created>
  <dcterms:modified xsi:type="dcterms:W3CDTF">2019-02-26T22:51:58Z</dcterms:modified>
</cp:coreProperties>
</file>